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780" yWindow="-15" windowWidth="9840" windowHeight="11760" tabRatio="633"/>
  </bookViews>
  <sheets>
    <sheet name="Prob 1" sheetId="2" r:id="rId1"/>
    <sheet name="Prob 2" sheetId="9" r:id="rId2"/>
    <sheet name="Prob 2 Scenario Summary" sheetId="14" r:id="rId3"/>
    <sheet name="Prob 3" sheetId="4" r:id="rId4"/>
    <sheet name="Prob 3 Scenario Summary" sheetId="13" r:id="rId5"/>
    <sheet name="Prob 4 A" sheetId="5" r:id="rId6"/>
    <sheet name="Prob 4 B" sheetId="3" r:id="rId7"/>
  </sheets>
  <definedNames>
    <definedName name="Cumulative_Net_Interest">#REF!</definedName>
    <definedName name="First_Month_Collections">#REF!</definedName>
    <definedName name="Max_Borrowing_Need">#REF!</definedName>
    <definedName name="Maximum_Borrowing_Need">'Prob 3'!$B$30</definedName>
    <definedName name="Revenue_Adjustment">#REF!</definedName>
    <definedName name="Sales_Adjustment">'Prob 3'!$B$5</definedName>
    <definedName name="Total_Interest_Cost">'Prob 2'!$B$35</definedName>
  </definedNames>
  <calcPr calcId="145621"/>
</workbook>
</file>

<file path=xl/calcChain.xml><?xml version="1.0" encoding="utf-8"?>
<calcChain xmlns="http://schemas.openxmlformats.org/spreadsheetml/2006/main">
  <c r="I25" i="9" l="1"/>
  <c r="F28" i="9"/>
  <c r="E28" i="9"/>
  <c r="E25" i="9"/>
  <c r="B9" i="9" l="1"/>
  <c r="F9" i="9" s="1"/>
  <c r="G24" i="3"/>
  <c r="B46" i="3"/>
  <c r="H24" i="3" s="1"/>
  <c r="B47" i="3"/>
  <c r="F25" i="3" s="1"/>
  <c r="B48" i="3"/>
  <c r="H26" i="3" s="1"/>
  <c r="B49" i="3"/>
  <c r="H28" i="3" s="1"/>
  <c r="B50" i="3"/>
  <c r="B45" i="3"/>
  <c r="F23" i="3" s="1"/>
  <c r="P5" i="3"/>
  <c r="F5" i="3" s="1"/>
  <c r="F7" i="3" s="1"/>
  <c r="Q5" i="3"/>
  <c r="R5" i="3"/>
  <c r="S5" i="3"/>
  <c r="T5" i="3"/>
  <c r="J5" i="3" s="1"/>
  <c r="U5" i="3"/>
  <c r="V5" i="3"/>
  <c r="O5" i="3"/>
  <c r="E5" i="3" s="1"/>
  <c r="D12" i="3" s="1"/>
  <c r="E15" i="3" s="1"/>
  <c r="F23" i="5"/>
  <c r="G23" i="5"/>
  <c r="H23" i="5"/>
  <c r="I23" i="5"/>
  <c r="J23" i="5"/>
  <c r="K23" i="5"/>
  <c r="F24" i="5"/>
  <c r="G24" i="5"/>
  <c r="H24" i="5"/>
  <c r="I24" i="5"/>
  <c r="J24" i="5"/>
  <c r="K24" i="5"/>
  <c r="F25" i="5"/>
  <c r="G25" i="5"/>
  <c r="H25" i="5"/>
  <c r="I25" i="5"/>
  <c r="J25" i="5"/>
  <c r="K25" i="5"/>
  <c r="F26" i="5"/>
  <c r="G26" i="5"/>
  <c r="H26" i="5"/>
  <c r="I26" i="5"/>
  <c r="J26" i="5"/>
  <c r="K26" i="5"/>
  <c r="F27" i="5"/>
  <c r="G27" i="5"/>
  <c r="H27" i="5"/>
  <c r="I27" i="5"/>
  <c r="J27" i="5"/>
  <c r="K27" i="5"/>
  <c r="E24" i="5"/>
  <c r="E25" i="5"/>
  <c r="E26" i="5"/>
  <c r="E27" i="5"/>
  <c r="E23" i="5"/>
  <c r="F15" i="4"/>
  <c r="G15" i="4"/>
  <c r="H15" i="4"/>
  <c r="I15" i="4"/>
  <c r="J15" i="4"/>
  <c r="F16" i="4"/>
  <c r="G16" i="4"/>
  <c r="H16" i="4"/>
  <c r="I16" i="4"/>
  <c r="J16" i="4"/>
  <c r="E16" i="4"/>
  <c r="E15" i="4"/>
  <c r="F12" i="4"/>
  <c r="G12" i="4"/>
  <c r="H12" i="4"/>
  <c r="I12" i="4"/>
  <c r="J12" i="4"/>
  <c r="E12" i="4"/>
  <c r="D18" i="2"/>
  <c r="E18" i="2"/>
  <c r="F18" i="2"/>
  <c r="G18" i="2"/>
  <c r="H18" i="2"/>
  <c r="D19" i="2"/>
  <c r="E19" i="2"/>
  <c r="F19" i="2"/>
  <c r="G19" i="2"/>
  <c r="H19" i="2"/>
  <c r="C19" i="2"/>
  <c r="C18" i="2"/>
  <c r="B22" i="2"/>
  <c r="C17" i="2" s="1"/>
  <c r="E7" i="9"/>
  <c r="E8" i="9"/>
  <c r="E11" i="9"/>
  <c r="E13" i="9" s="1"/>
  <c r="B14" i="9"/>
  <c r="D11" i="9"/>
  <c r="F11" i="9"/>
  <c r="F13" i="9" s="1"/>
  <c r="F7" i="9"/>
  <c r="F8" i="9"/>
  <c r="G11" i="9"/>
  <c r="G13" i="9" s="1"/>
  <c r="G7" i="9"/>
  <c r="G8" i="9"/>
  <c r="H11" i="9"/>
  <c r="H13" i="9" s="1"/>
  <c r="H7" i="9"/>
  <c r="H8" i="9"/>
  <c r="I11" i="9"/>
  <c r="I13" i="9" s="1"/>
  <c r="I7" i="9"/>
  <c r="I8" i="9"/>
  <c r="D25" i="9"/>
  <c r="D28" i="9" s="1"/>
  <c r="B33" i="9"/>
  <c r="D4" i="9"/>
  <c r="E4" i="9" s="1"/>
  <c r="D4" i="5"/>
  <c r="E4" i="5" s="1"/>
  <c r="D4" i="4"/>
  <c r="E4" i="4" s="1"/>
  <c r="C5" i="2"/>
  <c r="D5" i="2" s="1"/>
  <c r="C4" i="3"/>
  <c r="A2" i="3"/>
  <c r="A1" i="3"/>
  <c r="B8" i="4"/>
  <c r="E8" i="4"/>
  <c r="E5" i="4"/>
  <c r="E7" i="4" s="1"/>
  <c r="E13" i="4"/>
  <c r="E14" i="4"/>
  <c r="F5" i="4"/>
  <c r="F7" i="4" s="1"/>
  <c r="G5" i="4"/>
  <c r="H14" i="4" s="1"/>
  <c r="H5" i="4"/>
  <c r="H7" i="4" s="1"/>
  <c r="I5" i="4"/>
  <c r="J14" i="4" s="1"/>
  <c r="J5" i="4"/>
  <c r="J7" i="4" s="1"/>
  <c r="B16" i="2"/>
  <c r="A14" i="2"/>
  <c r="A13" i="2"/>
  <c r="B44" i="3"/>
  <c r="E27" i="3" s="1"/>
  <c r="D38" i="3"/>
  <c r="D39" i="3" s="1"/>
  <c r="E34" i="3" s="1"/>
  <c r="E8" i="3"/>
  <c r="B9" i="3"/>
  <c r="E9" i="3" s="1"/>
  <c r="B15" i="3"/>
  <c r="G5" i="3"/>
  <c r="G7" i="3" s="1"/>
  <c r="H5" i="3"/>
  <c r="G12" i="3" s="1"/>
  <c r="G14" i="3" s="1"/>
  <c r="I5" i="3"/>
  <c r="I7" i="3" s="1"/>
  <c r="K5" i="3"/>
  <c r="K7" i="3" s="1"/>
  <c r="L5" i="3"/>
  <c r="K12" i="3" s="1"/>
  <c r="K14" i="3" s="1"/>
  <c r="E33" i="5"/>
  <c r="E5" i="5"/>
  <c r="F8" i="5" s="1"/>
  <c r="E7" i="5"/>
  <c r="E8" i="5"/>
  <c r="E9" i="5"/>
  <c r="F5" i="5"/>
  <c r="E12" i="5" s="1"/>
  <c r="D12" i="5"/>
  <c r="E15" i="5" s="1"/>
  <c r="F9" i="5"/>
  <c r="G5" i="5"/>
  <c r="F12" i="5" s="1"/>
  <c r="F14" i="5" s="1"/>
  <c r="G8" i="5"/>
  <c r="G9" i="5"/>
  <c r="H5" i="5"/>
  <c r="G12" i="5" s="1"/>
  <c r="H8" i="5"/>
  <c r="I5" i="5"/>
  <c r="I7" i="5" s="1"/>
  <c r="I9" i="5"/>
  <c r="J5" i="5"/>
  <c r="I12" i="5" s="1"/>
  <c r="K5" i="5"/>
  <c r="K7" i="5" s="1"/>
  <c r="L5" i="5"/>
  <c r="K12" i="5" s="1"/>
  <c r="K14" i="5" s="1"/>
  <c r="E19" i="4"/>
  <c r="C6" i="2"/>
  <c r="C9" i="2" s="1"/>
  <c r="C10" i="2" s="1"/>
  <c r="D6" i="2" s="1"/>
  <c r="D9" i="2" s="1"/>
  <c r="D10" i="2" s="1"/>
  <c r="E6" i="2" s="1"/>
  <c r="E9" i="2" s="1"/>
  <c r="E10" i="2" s="1"/>
  <c r="F6" i="2" s="1"/>
  <c r="F9" i="2" s="1"/>
  <c r="F10" i="2" s="1"/>
  <c r="G6" i="2" s="1"/>
  <c r="G9" i="2" s="1"/>
  <c r="G10" i="2" s="1"/>
  <c r="H6" i="2" s="1"/>
  <c r="H9" i="2" s="1"/>
  <c r="H10" i="2" s="1"/>
  <c r="E9" i="9" l="1"/>
  <c r="E10" i="9" s="1"/>
  <c r="E16" i="9" s="1"/>
  <c r="I9" i="9"/>
  <c r="H9" i="9"/>
  <c r="H10" i="9" s="1"/>
  <c r="H16" i="9" s="1"/>
  <c r="G9" i="9"/>
  <c r="I12" i="3"/>
  <c r="I14" i="3" s="1"/>
  <c r="K8" i="3"/>
  <c r="K8" i="5"/>
  <c r="K10" i="5" s="1"/>
  <c r="K19" i="5" s="1"/>
  <c r="K34" i="5" s="1"/>
  <c r="H12" i="5"/>
  <c r="E23" i="3"/>
  <c r="K24" i="3"/>
  <c r="K26" i="3"/>
  <c r="J8" i="5"/>
  <c r="G26" i="3"/>
  <c r="I23" i="3"/>
  <c r="K9" i="5"/>
  <c r="J7" i="5"/>
  <c r="H7" i="5"/>
  <c r="I25" i="3"/>
  <c r="C20" i="2"/>
  <c r="E26" i="3"/>
  <c r="J26" i="3"/>
  <c r="F26" i="3"/>
  <c r="H25" i="3"/>
  <c r="J24" i="3"/>
  <c r="F24" i="3"/>
  <c r="H23" i="3"/>
  <c r="K28" i="3"/>
  <c r="G28" i="3"/>
  <c r="E25" i="3"/>
  <c r="I26" i="3"/>
  <c r="K25" i="3"/>
  <c r="G25" i="3"/>
  <c r="I24" i="3"/>
  <c r="K23" i="3"/>
  <c r="G23" i="3"/>
  <c r="J28" i="3"/>
  <c r="F28" i="3"/>
  <c r="G7" i="5"/>
  <c r="G10" i="5" s="1"/>
  <c r="G19" i="5" s="1"/>
  <c r="G34" i="5" s="1"/>
  <c r="J9" i="3"/>
  <c r="G8" i="3"/>
  <c r="E24" i="3"/>
  <c r="J25" i="3"/>
  <c r="J23" i="3"/>
  <c r="I28" i="3"/>
  <c r="E28" i="3"/>
  <c r="I9" i="3"/>
  <c r="K9" i="3"/>
  <c r="K10" i="3" s="1"/>
  <c r="K19" i="3" s="1"/>
  <c r="K35" i="3" s="1"/>
  <c r="J8" i="3"/>
  <c r="H8" i="3"/>
  <c r="J12" i="3"/>
  <c r="J7" i="3"/>
  <c r="J10" i="3" s="1"/>
  <c r="J19" i="3" s="1"/>
  <c r="J35" i="3" s="1"/>
  <c r="I8" i="3"/>
  <c r="H7" i="3"/>
  <c r="H12" i="3"/>
  <c r="H14" i="3" s="1"/>
  <c r="D4" i="3"/>
  <c r="J13" i="4"/>
  <c r="H13" i="4"/>
  <c r="G7" i="4"/>
  <c r="F14" i="4"/>
  <c r="H8" i="4"/>
  <c r="H10" i="4" s="1"/>
  <c r="H20" i="4" s="1"/>
  <c r="I7" i="4"/>
  <c r="G13" i="4"/>
  <c r="F13" i="4"/>
  <c r="C16" i="2"/>
  <c r="I14" i="5"/>
  <c r="J15" i="5"/>
  <c r="G14" i="5"/>
  <c r="H15" i="5"/>
  <c r="E5" i="2"/>
  <c r="E16" i="2" s="1"/>
  <c r="D16" i="2"/>
  <c r="E28" i="5"/>
  <c r="G9" i="3"/>
  <c r="E7" i="3"/>
  <c r="E10" i="3" s="1"/>
  <c r="E19" i="3" s="1"/>
  <c r="E35" i="3" s="1"/>
  <c r="J12" i="5"/>
  <c r="H15" i="3"/>
  <c r="H9" i="3"/>
  <c r="F12" i="3"/>
  <c r="E12" i="3"/>
  <c r="J9" i="5"/>
  <c r="I8" i="5"/>
  <c r="I10" i="5" s="1"/>
  <c r="I19" i="5" s="1"/>
  <c r="I34" i="5" s="1"/>
  <c r="I14" i="4"/>
  <c r="G14" i="4"/>
  <c r="G8" i="4"/>
  <c r="F8" i="4"/>
  <c r="F10" i="4" s="1"/>
  <c r="F20" i="4" s="1"/>
  <c r="I10" i="9"/>
  <c r="I16" i="9" s="1"/>
  <c r="G10" i="9"/>
  <c r="G16" i="9" s="1"/>
  <c r="F10" i="9"/>
  <c r="F16" i="9" s="1"/>
  <c r="J15" i="3"/>
  <c r="G15" i="5"/>
  <c r="E10" i="5"/>
  <c r="E19" i="5" s="1"/>
  <c r="E34" i="5" s="1"/>
  <c r="F8" i="3"/>
  <c r="J8" i="4"/>
  <c r="J10" i="4" s="1"/>
  <c r="J20" i="4" s="1"/>
  <c r="I8" i="4"/>
  <c r="E10" i="4"/>
  <c r="E20" i="4" s="1"/>
  <c r="F14" i="9"/>
  <c r="F15" i="9" s="1"/>
  <c r="F18" i="9" s="1"/>
  <c r="I14" i="9"/>
  <c r="I15" i="9" s="1"/>
  <c r="I18" i="9" s="1"/>
  <c r="G14" i="9"/>
  <c r="G15" i="9" s="1"/>
  <c r="G18" i="9" s="1"/>
  <c r="H14" i="9"/>
  <c r="H15" i="9" s="1"/>
  <c r="H18" i="9" s="1"/>
  <c r="E14" i="9"/>
  <c r="E15" i="9" s="1"/>
  <c r="E18" i="9" s="1"/>
  <c r="E14" i="5"/>
  <c r="E16" i="5" s="1"/>
  <c r="E22" i="5" s="1"/>
  <c r="F15" i="5"/>
  <c r="F16" i="5" s="1"/>
  <c r="F22" i="5" s="1"/>
  <c r="C21" i="2"/>
  <c r="C22" i="2" s="1"/>
  <c r="D17" i="2" s="1"/>
  <c r="D20" i="2" s="1"/>
  <c r="F4" i="4"/>
  <c r="E17" i="4"/>
  <c r="E18" i="4" s="1"/>
  <c r="E21" i="4" s="1"/>
  <c r="F4" i="9"/>
  <c r="G4" i="9" s="1"/>
  <c r="H4" i="9" s="1"/>
  <c r="I4" i="9" s="1"/>
  <c r="J4" i="9" s="1"/>
  <c r="F4" i="5"/>
  <c r="F28" i="5" s="1"/>
  <c r="E30" i="5"/>
  <c r="O4" i="5"/>
  <c r="E4" i="3"/>
  <c r="E29" i="3" s="1"/>
  <c r="E29" i="5"/>
  <c r="H9" i="5"/>
  <c r="H10" i="5" s="1"/>
  <c r="H19" i="5" s="1"/>
  <c r="H34" i="5" s="1"/>
  <c r="F7" i="5"/>
  <c r="F10" i="5" s="1"/>
  <c r="F19" i="5" s="1"/>
  <c r="F34" i="5" s="1"/>
  <c r="E19" i="9"/>
  <c r="F9" i="3"/>
  <c r="I13" i="4"/>
  <c r="D26" i="9"/>
  <c r="E22" i="9" s="1"/>
  <c r="H14" i="5" l="1"/>
  <c r="H16" i="5" s="1"/>
  <c r="H22" i="5" s="1"/>
  <c r="I15" i="5"/>
  <c r="G10" i="4"/>
  <c r="G20" i="4" s="1"/>
  <c r="H10" i="3"/>
  <c r="H19" i="3" s="1"/>
  <c r="H35" i="3" s="1"/>
  <c r="G10" i="3"/>
  <c r="G19" i="3" s="1"/>
  <c r="G35" i="3" s="1"/>
  <c r="E22" i="4"/>
  <c r="J10" i="5"/>
  <c r="J19" i="5" s="1"/>
  <c r="J34" i="5" s="1"/>
  <c r="I16" i="5"/>
  <c r="I22" i="5" s="1"/>
  <c r="F5" i="2"/>
  <c r="F16" i="2" s="1"/>
  <c r="A3" i="9"/>
  <c r="H16" i="3"/>
  <c r="H22" i="3" s="1"/>
  <c r="I10" i="3"/>
  <c r="I19" i="3" s="1"/>
  <c r="I35" i="3" s="1"/>
  <c r="I15" i="3"/>
  <c r="I16" i="3" s="1"/>
  <c r="I22" i="3" s="1"/>
  <c r="J14" i="3"/>
  <c r="J16" i="3" s="1"/>
  <c r="J22" i="3" s="1"/>
  <c r="K15" i="3"/>
  <c r="K16" i="3" s="1"/>
  <c r="K22" i="3" s="1"/>
  <c r="I10" i="4"/>
  <c r="I20" i="4" s="1"/>
  <c r="F14" i="3"/>
  <c r="G15" i="3"/>
  <c r="G16" i="3" s="1"/>
  <c r="G22" i="3" s="1"/>
  <c r="J14" i="5"/>
  <c r="J16" i="5" s="1"/>
  <c r="J22" i="5" s="1"/>
  <c r="K15" i="5"/>
  <c r="K16" i="5" s="1"/>
  <c r="K22" i="5" s="1"/>
  <c r="E14" i="3"/>
  <c r="E16" i="3" s="1"/>
  <c r="E22" i="3" s="1"/>
  <c r="F15" i="3"/>
  <c r="F10" i="3"/>
  <c r="F19" i="3" s="1"/>
  <c r="F35" i="3" s="1"/>
  <c r="G16" i="5"/>
  <c r="G22" i="5" s="1"/>
  <c r="E23" i="4"/>
  <c r="E26" i="4" s="1"/>
  <c r="D21" i="2"/>
  <c r="D22" i="2" s="1"/>
  <c r="E17" i="2" s="1"/>
  <c r="E20" i="2" s="1"/>
  <c r="E31" i="3"/>
  <c r="E30" i="3"/>
  <c r="G4" i="4"/>
  <c r="F17" i="4"/>
  <c r="F18" i="4" s="1"/>
  <c r="F21" i="4" s="1"/>
  <c r="E31" i="5"/>
  <c r="E35" i="5" s="1"/>
  <c r="E36" i="5" s="1"/>
  <c r="F33" i="5" s="1"/>
  <c r="F30" i="5"/>
  <c r="F29" i="5"/>
  <c r="P4" i="5"/>
  <c r="G4" i="5"/>
  <c r="G28" i="5" s="1"/>
  <c r="F4" i="3"/>
  <c r="F29" i="3" s="1"/>
  <c r="E21" i="9"/>
  <c r="E23" i="9" s="1"/>
  <c r="E24" i="9" s="1"/>
  <c r="G5" i="2" l="1"/>
  <c r="E32" i="3"/>
  <c r="E36" i="3" s="1"/>
  <c r="E37" i="3" s="1"/>
  <c r="F16" i="3"/>
  <c r="F22" i="3" s="1"/>
  <c r="F31" i="5"/>
  <c r="F35" i="5" s="1"/>
  <c r="F36" i="5" s="1"/>
  <c r="G33" i="5" s="1"/>
  <c r="F30" i="3"/>
  <c r="F31" i="3"/>
  <c r="E24" i="4"/>
  <c r="F19" i="4" s="1"/>
  <c r="F22" i="4" s="1"/>
  <c r="H4" i="5"/>
  <c r="H28" i="5" s="1"/>
  <c r="G4" i="3"/>
  <c r="G29" i="3" s="1"/>
  <c r="G30" i="5"/>
  <c r="G29" i="5"/>
  <c r="Q4" i="5"/>
  <c r="H4" i="4"/>
  <c r="G17" i="4"/>
  <c r="G18" i="4" s="1"/>
  <c r="G21" i="4" s="1"/>
  <c r="E21" i="2"/>
  <c r="E22" i="2" s="1"/>
  <c r="F17" i="2" s="1"/>
  <c r="F20" i="2" s="1"/>
  <c r="G16" i="2" l="1"/>
  <c r="H5" i="2"/>
  <c r="A4" i="2" s="1"/>
  <c r="E38" i="3"/>
  <c r="E41" i="3" s="1"/>
  <c r="F27" i="3" s="1"/>
  <c r="F32" i="3" s="1"/>
  <c r="F36" i="3" s="1"/>
  <c r="F21" i="2"/>
  <c r="F22" i="2" s="1"/>
  <c r="G17" i="2" s="1"/>
  <c r="G20" i="2" s="1"/>
  <c r="I4" i="4"/>
  <c r="H17" i="4"/>
  <c r="H18" i="4" s="1"/>
  <c r="H21" i="4" s="1"/>
  <c r="G30" i="3"/>
  <c r="G31" i="3"/>
  <c r="H30" i="5"/>
  <c r="H29" i="5"/>
  <c r="R4" i="5"/>
  <c r="I4" i="5"/>
  <c r="I28" i="5" s="1"/>
  <c r="H4" i="3"/>
  <c r="H29" i="3" s="1"/>
  <c r="F19" i="9"/>
  <c r="G31" i="5"/>
  <c r="G35" i="5" s="1"/>
  <c r="G36" i="5" s="1"/>
  <c r="H33" i="5" s="1"/>
  <c r="F23" i="4"/>
  <c r="F26" i="4" s="1"/>
  <c r="E26" i="9"/>
  <c r="F22" i="9" s="1"/>
  <c r="H16" i="2" l="1"/>
  <c r="E39" i="3"/>
  <c r="F34" i="3" s="1"/>
  <c r="F24" i="4"/>
  <c r="G19" i="4" s="1"/>
  <c r="G22" i="4" s="1"/>
  <c r="G23" i="4" s="1"/>
  <c r="G24" i="4" s="1"/>
  <c r="H19" i="4" s="1"/>
  <c r="H22" i="4" s="1"/>
  <c r="H31" i="5"/>
  <c r="H35" i="5" s="1"/>
  <c r="H36" i="5" s="1"/>
  <c r="I33" i="5" s="1"/>
  <c r="G21" i="2"/>
  <c r="G22" i="2" s="1"/>
  <c r="H17" i="2" s="1"/>
  <c r="H20" i="2" s="1"/>
  <c r="J4" i="5"/>
  <c r="A3" i="5" s="1"/>
  <c r="I4" i="3"/>
  <c r="I29" i="3" s="1"/>
  <c r="I30" i="5"/>
  <c r="I29" i="5"/>
  <c r="S4" i="5"/>
  <c r="J4" i="4"/>
  <c r="A3" i="4" s="1"/>
  <c r="I17" i="4"/>
  <c r="I18" i="4" s="1"/>
  <c r="I21" i="4" s="1"/>
  <c r="A15" i="2"/>
  <c r="F21" i="9"/>
  <c r="F23" i="9" s="1"/>
  <c r="F24" i="9" s="1"/>
  <c r="F25" i="9" s="1"/>
  <c r="H30" i="3"/>
  <c r="H31" i="3"/>
  <c r="F37" i="3"/>
  <c r="F38" i="3" s="1"/>
  <c r="I31" i="5" l="1"/>
  <c r="I35" i="5" s="1"/>
  <c r="I36" i="5" s="1"/>
  <c r="J33" i="5" s="1"/>
  <c r="J28" i="5"/>
  <c r="G26" i="4"/>
  <c r="H21" i="2"/>
  <c r="H22" i="2" s="1"/>
  <c r="H23" i="4"/>
  <c r="H24" i="4" s="1"/>
  <c r="I19" i="4" s="1"/>
  <c r="I22" i="4" s="1"/>
  <c r="J17" i="4"/>
  <c r="J18" i="4" s="1"/>
  <c r="J21" i="4" s="1"/>
  <c r="I30" i="3"/>
  <c r="I31" i="3"/>
  <c r="J30" i="5"/>
  <c r="J29" i="5"/>
  <c r="T4" i="5"/>
  <c r="K4" i="5"/>
  <c r="K28" i="5" s="1"/>
  <c r="J4" i="3"/>
  <c r="J29" i="3" s="1"/>
  <c r="F41" i="3"/>
  <c r="H26" i="4" l="1"/>
  <c r="I23" i="4"/>
  <c r="I24" i="4" s="1"/>
  <c r="J19" i="4" s="1"/>
  <c r="J22" i="4" s="1"/>
  <c r="G27" i="3"/>
  <c r="G32" i="3" s="1"/>
  <c r="G36" i="3" s="1"/>
  <c r="A3" i="3"/>
  <c r="L4" i="5"/>
  <c r="K4" i="3"/>
  <c r="K29" i="3" s="1"/>
  <c r="K30" i="5"/>
  <c r="K29" i="5"/>
  <c r="U4" i="5"/>
  <c r="G19" i="9"/>
  <c r="J31" i="5"/>
  <c r="J35" i="5" s="1"/>
  <c r="J36" i="5" s="1"/>
  <c r="K33" i="5" s="1"/>
  <c r="J30" i="3"/>
  <c r="J31" i="3"/>
  <c r="F39" i="3"/>
  <c r="G34" i="3" s="1"/>
  <c r="F26" i="9"/>
  <c r="G22" i="9" s="1"/>
  <c r="I26" i="4" l="1"/>
  <c r="G37" i="3"/>
  <c r="J23" i="4"/>
  <c r="J24" i="4" s="1"/>
  <c r="K30" i="3"/>
  <c r="K31" i="3"/>
  <c r="K31" i="5"/>
  <c r="K35" i="5" s="1"/>
  <c r="K36" i="5" s="1"/>
  <c r="G21" i="9"/>
  <c r="G23" i="9" s="1"/>
  <c r="G24" i="9" s="1"/>
  <c r="L4" i="3"/>
  <c r="G25" i="9" l="1"/>
  <c r="G28" i="9" s="1"/>
  <c r="G38" i="3"/>
  <c r="G41" i="3" s="1"/>
  <c r="H27" i="3" s="1"/>
  <c r="H32" i="3" s="1"/>
  <c r="H36" i="3" s="1"/>
  <c r="J26" i="4"/>
  <c r="B30" i="4" s="1"/>
  <c r="G39" i="3" l="1"/>
  <c r="H34" i="3" s="1"/>
  <c r="H37" i="3" s="1"/>
  <c r="H19" i="9"/>
  <c r="G26" i="9"/>
  <c r="H22" i="9" s="1"/>
  <c r="H38" i="3" l="1"/>
  <c r="H41" i="3" s="1"/>
  <c r="I27" i="3" s="1"/>
  <c r="I32" i="3" s="1"/>
  <c r="I36" i="3" s="1"/>
  <c r="H21" i="9"/>
  <c r="H23" i="9" s="1"/>
  <c r="H24" i="9" s="1"/>
  <c r="H25" i="9" l="1"/>
  <c r="H28" i="9" s="1"/>
  <c r="H39" i="3"/>
  <c r="I34" i="3" s="1"/>
  <c r="I37" i="3" s="1"/>
  <c r="I38" i="3" l="1"/>
  <c r="I41" i="3" s="1"/>
  <c r="J27" i="3" s="1"/>
  <c r="J32" i="3" s="1"/>
  <c r="J36" i="3" s="1"/>
  <c r="H26" i="9"/>
  <c r="I22" i="9" s="1"/>
  <c r="I19" i="9"/>
  <c r="I39" i="3" l="1"/>
  <c r="J34" i="3" s="1"/>
  <c r="J37" i="3" s="1"/>
  <c r="I21" i="9"/>
  <c r="I23" i="9" s="1"/>
  <c r="I24" i="9" s="1"/>
  <c r="B35" i="9"/>
  <c r="I28" i="9" l="1"/>
  <c r="J38" i="3"/>
  <c r="J41" i="3" s="1"/>
  <c r="K27" i="3" s="1"/>
  <c r="K32" i="3" s="1"/>
  <c r="K36" i="3" s="1"/>
  <c r="J39" i="3" l="1"/>
  <c r="K34" i="3" s="1"/>
  <c r="K37" i="3" s="1"/>
  <c r="I26" i="9"/>
  <c r="K38" i="3" l="1"/>
  <c r="K41" i="3" s="1"/>
  <c r="K39" i="3" l="1"/>
</calcChain>
</file>

<file path=xl/comments1.xml><?xml version="1.0" encoding="utf-8"?>
<comments xmlns="http://schemas.openxmlformats.org/spreadsheetml/2006/main">
  <authors>
    <author>Timothy R. Mayes, Ph.D.</author>
    <author>Timothy R. Mayes, Ph.D</author>
  </authors>
  <commentList>
    <comment ref="B5" authorId="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November and December sales are assumed to be fixed since they are in the past.</t>
        </r>
      </text>
    </comment>
    <comment ref="A9" authorId="1">
      <text>
        <r>
          <rPr>
            <b/>
            <sz val="8"/>
            <color indexed="81"/>
            <rFont val="Tahoma"/>
            <family val="2"/>
          </rPr>
          <t>Timothy R. Mayes, Ph.D:</t>
        </r>
        <r>
          <rPr>
            <sz val="8"/>
            <color indexed="81"/>
            <rFont val="Tahoma"/>
            <family val="2"/>
          </rPr>
          <t xml:space="preserve">
Bad debts are simply not collected, there is no cash flow so this row is blank.  It has been included because the 1% bad debt estimate is subject to uncertainty and could be used in a scenario analysis.
This number is also used to estimate NET sales for the previous month.  This is then used to calculate sales commissions and partner salaries.</t>
        </r>
      </text>
    </comment>
  </commentList>
</comments>
</file>

<file path=xl/comments2.xml><?xml version="1.0" encoding="utf-8"?>
<comments xmlns="http://schemas.openxmlformats.org/spreadsheetml/2006/main">
  <authors>
    <author>Timothy R. Mayes, Ph.D.</author>
  </authors>
  <commentList>
    <comment ref="B5" authorId="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April and May sales are assumed to be fixed.</t>
        </r>
      </text>
    </comment>
  </commentList>
</comments>
</file>

<file path=xl/comments3.xml><?xml version="1.0" encoding="utf-8"?>
<comments xmlns="http://schemas.openxmlformats.org/spreadsheetml/2006/main">
  <authors>
    <author>Timothy R. Mayes, Ph.D.</author>
  </authors>
  <commentList>
    <comment ref="B5" authorId="0">
      <text>
        <r>
          <rPr>
            <b/>
            <sz val="8"/>
            <color indexed="81"/>
            <rFont val="Tahoma"/>
            <family val="2"/>
          </rPr>
          <t>Timothy R. Mayes, Ph.D.:</t>
        </r>
        <r>
          <rPr>
            <sz val="8"/>
            <color indexed="81"/>
            <rFont val="Tahoma"/>
            <family val="2"/>
          </rPr>
          <t xml:space="preserve">
This value is for the scenario analysis and is multiplied by the expected sales for each month.  Note that April and May sales are assumed to be fixed.</t>
        </r>
      </text>
    </comment>
  </commentList>
</comments>
</file>

<file path=xl/sharedStrings.xml><?xml version="1.0" encoding="utf-8"?>
<sst xmlns="http://schemas.openxmlformats.org/spreadsheetml/2006/main" count="205" uniqueCount="113">
  <si>
    <t>April</t>
  </si>
  <si>
    <t>May</t>
  </si>
  <si>
    <t>June</t>
  </si>
  <si>
    <t>July</t>
  </si>
  <si>
    <t>August</t>
  </si>
  <si>
    <t>September</t>
  </si>
  <si>
    <t>October</t>
  </si>
  <si>
    <t>November</t>
  </si>
  <si>
    <t>December</t>
  </si>
  <si>
    <t>January</t>
  </si>
  <si>
    <t>Revenues</t>
  </si>
  <si>
    <t>Collections:</t>
  </si>
  <si>
    <t>Cash</t>
  </si>
  <si>
    <t>First Month</t>
  </si>
  <si>
    <t>Second Month</t>
  </si>
  <si>
    <t>Total Collections</t>
  </si>
  <si>
    <t>Inventory Purchases</t>
  </si>
  <si>
    <t>Payments:</t>
  </si>
  <si>
    <t>Total Payments</t>
  </si>
  <si>
    <t>Cash Inflows</t>
  </si>
  <si>
    <t>Cash Outflows:</t>
  </si>
  <si>
    <t>Inventory Payments</t>
  </si>
  <si>
    <t>Hourly Wages and Benefits</t>
  </si>
  <si>
    <t>Salaries and Benefits</t>
  </si>
  <si>
    <t>Interest on Long-term Debt</t>
  </si>
  <si>
    <t>Principal on Long-term Debt</t>
  </si>
  <si>
    <t>Interest on Short-term Debt</t>
  </si>
  <si>
    <t>Maintenance</t>
  </si>
  <si>
    <t>Snow Removal</t>
  </si>
  <si>
    <t>Sales Tax Payments</t>
  </si>
  <si>
    <t>Other taxes</t>
  </si>
  <si>
    <t>Total Outflows</t>
  </si>
  <si>
    <t>Beginning Cash Balance</t>
  </si>
  <si>
    <t>Add: Cash Inflows</t>
  </si>
  <si>
    <t>Less: Cash Outflows</t>
  </si>
  <si>
    <t>Unadjusted Cash Balance</t>
  </si>
  <si>
    <t>Current Borrowing</t>
  </si>
  <si>
    <t>Ending Cash Balance</t>
  </si>
  <si>
    <t>Cumulative Borrowing</t>
  </si>
  <si>
    <t>Minimum Cash Balance</t>
  </si>
  <si>
    <t xml:space="preserve"> </t>
  </si>
  <si>
    <t>Maximum Borrowing Need</t>
  </si>
  <si>
    <t>A)</t>
  </si>
  <si>
    <t>Forecasted Ending Cash Balance</t>
  </si>
  <si>
    <t>February</t>
  </si>
  <si>
    <t>March</t>
  </si>
  <si>
    <t>Beginning Cash</t>
  </si>
  <si>
    <t>Add: Collections</t>
  </si>
  <si>
    <t>Less: Payments</t>
  </si>
  <si>
    <t>B)</t>
  </si>
  <si>
    <t>Add: Borrowing</t>
  </si>
  <si>
    <t>Minimum Cash</t>
  </si>
  <si>
    <t>Annual Interest Rate</t>
  </si>
  <si>
    <t>Monthly Interest Rate</t>
  </si>
  <si>
    <t>Cash Budget</t>
  </si>
  <si>
    <t>Bad Debt</t>
  </si>
  <si>
    <t>Net Collections</t>
  </si>
  <si>
    <t>Disbursements:</t>
  </si>
  <si>
    <t>Clerical Wages</t>
  </si>
  <si>
    <t>Sales Commissions</t>
  </si>
  <si>
    <t>Partner Salaries</t>
  </si>
  <si>
    <t>Rent Expense</t>
  </si>
  <si>
    <t>Office Equipment Lease</t>
  </si>
  <si>
    <t>Utilities</t>
  </si>
  <si>
    <t>Total Disbursements</t>
  </si>
  <si>
    <t>Less: Disbursements</t>
  </si>
  <si>
    <t>Add: Current Borrowing</t>
  </si>
  <si>
    <t>Notes:</t>
  </si>
  <si>
    <t>Minimum Partner Salary</t>
  </si>
  <si>
    <t>Idaho Springs Hardware</t>
  </si>
  <si>
    <t>Sales_Adjustment</t>
  </si>
  <si>
    <t>Maximum_Borrowing_Need</t>
  </si>
  <si>
    <t>Best Case</t>
  </si>
  <si>
    <t>Base Case</t>
  </si>
  <si>
    <t>Worst Case</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</si>
  <si>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</si>
  <si>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</si>
  <si>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</si>
  <si>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</si>
  <si>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</si>
  <si>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</si>
  <si>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</si>
  <si>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Collections from Sales</t>
  </si>
  <si>
    <t>Cash Inflows:</t>
  </si>
  <si>
    <t>Utilities (May &amp; June)</t>
  </si>
  <si>
    <t>Loblaw Manufacturing</t>
  </si>
  <si>
    <t>Sales</t>
  </si>
  <si>
    <t>Collections</t>
  </si>
  <si>
    <t>During Month</t>
  </si>
  <si>
    <t>Purchases</t>
  </si>
  <si>
    <t>Other Payments</t>
  </si>
  <si>
    <t>Net Additions to Cash</t>
  </si>
  <si>
    <t>Short-term Interest</t>
  </si>
  <si>
    <t>Month After</t>
  </si>
  <si>
    <t>Discount for Paying in Same Month</t>
  </si>
  <si>
    <t>Total Interest Cost</t>
  </si>
  <si>
    <t>Total_Interest_Cost</t>
  </si>
  <si>
    <t>0% Payments During Month</t>
  </si>
  <si>
    <t>10% Payments During Month</t>
  </si>
  <si>
    <t>20% Payments During Month</t>
  </si>
  <si>
    <t>30% Payments During Month</t>
  </si>
  <si>
    <t>40% Payments During Month</t>
  </si>
  <si>
    <t>Snow Removal Costs</t>
  </si>
  <si>
    <t>$B$13</t>
  </si>
  <si>
    <t>Monthly Clerical Wages</t>
  </si>
  <si>
    <t>Office Equipment</t>
  </si>
  <si>
    <t>Created by Timothy R. Mayes, Ph.D on 10/28/2008</t>
  </si>
  <si>
    <t>Created by Timothy R. Mayes, Ph.D. on 10/28/2008</t>
  </si>
  <si>
    <t>Annual Rate on Borrowing</t>
  </si>
  <si>
    <t>Monthly Rate on Borrowing</t>
  </si>
  <si>
    <t>Lakewood Laser SkinCare</t>
  </si>
  <si>
    <t>Created by Timothy R. Mayes, Ph.D. on 6/5/2011</t>
  </si>
  <si>
    <t>Camp and Fevurly Financial Planners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</si>
</sst>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mm"/>
  </numFmts>
  <fonts count="15" x14ac:knownFonts="1">
    <font>
      <sz val="11"/>
      <name val="Times New Roman"/>
    </font>
    <font>
      <sz val="11"/>
      <name val="Times New Roman"/>
      <family val="1"/>
    </font>
    <font>
      <b/>
      <sz val="11"/>
      <name val="Times New Roman"/>
      <family val="1"/>
    </font>
    <font>
      <sz val="11"/>
      <name val="Times New Roman"/>
      <family val="1"/>
    </font>
    <font>
      <b/>
      <i/>
      <sz val="11"/>
      <name val="Times New Roman"/>
      <family val="1"/>
    </font>
    <font>
      <b/>
      <sz val="8"/>
      <color indexed="81"/>
      <name val="Tahoma"/>
      <family val="2"/>
    </font>
    <font>
      <sz val="8"/>
      <color indexed="81"/>
      <name val="Tahoma"/>
      <family val="2"/>
    </font>
    <font>
      <sz val="8"/>
      <name val="Times New Roman"/>
      <family val="1"/>
    </font>
    <font>
      <sz val="10"/>
      <color indexed="9"/>
      <name val="Times New Roman"/>
      <family val="1"/>
    </font>
    <font>
      <b/>
      <sz val="12"/>
      <color indexed="9"/>
      <name val="Times New Roman"/>
      <family val="1"/>
    </font>
    <font>
      <b/>
      <sz val="11"/>
      <color indexed="8"/>
      <name val="Times New Roman"/>
      <family val="1"/>
    </font>
    <font>
      <b/>
      <sz val="11"/>
      <color indexed="18"/>
      <name val="Times New Roman"/>
      <family val="1"/>
    </font>
    <font>
      <b/>
      <sz val="12"/>
      <color indexed="9"/>
      <name val="Times New Roman"/>
      <family val="1"/>
    </font>
    <font>
      <b/>
      <sz val="11"/>
      <color indexed="8"/>
      <name val="Times New Roman"/>
      <family val="1"/>
    </font>
    <font>
      <b/>
      <sz val="11"/>
      <color indexed="18"/>
      <name val="Times New Roman"/>
      <family val="1"/>
    </font>
  </fonts>
  <fills count="6">
    <fill>
      <patternFill patternType="none"/>
    </fill>
    <fill>
      <patternFill patternType="gray125"/>
    </fill>
    <fill>
      <patternFill patternType="solid">
        <fgColor indexed="22"/>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s>
  <borders count="6">
    <border>
      <left/>
      <right/>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0" borderId="0" xfId="0" applyFont="1" applyAlignment="1">
      <alignment horizontal="centerContinuous"/>
    </xf>
    <xf numFmtId="0" fontId="0" fillId="0" borderId="0" xfId="0" applyAlignment="1">
      <alignment horizontal="centerContinuous"/>
    </xf>
    <xf numFmtId="0" fontId="2" fillId="2" borderId="1" xfId="0" applyFont="1" applyFill="1" applyBorder="1"/>
    <xf numFmtId="0" fontId="2" fillId="2" borderId="1" xfId="0" applyFont="1" applyFill="1" applyBorder="1" applyAlignment="1">
      <alignment horizontal="center"/>
    </xf>
    <xf numFmtId="9" fontId="0" fillId="0" borderId="0" xfId="0" applyNumberFormat="1" applyAlignment="1">
      <alignment horizontal="center"/>
    </xf>
    <xf numFmtId="164" fontId="1" fillId="0" borderId="0" xfId="2" applyNumberFormat="1"/>
    <xf numFmtId="0" fontId="3" fillId="0" borderId="0" xfId="0" applyFont="1" applyAlignment="1">
      <alignment horizontal="left"/>
    </xf>
    <xf numFmtId="0" fontId="3" fillId="0" borderId="0" xfId="0" applyFont="1" applyAlignment="1">
      <alignment horizontal="left" indent="1"/>
    </xf>
    <xf numFmtId="9" fontId="3" fillId="0" borderId="0" xfId="0" applyNumberFormat="1" applyFont="1" applyAlignment="1">
      <alignment horizontal="center"/>
    </xf>
    <xf numFmtId="9" fontId="3" fillId="0" borderId="0" xfId="0" applyNumberFormat="1" applyFont="1" applyAlignment="1">
      <alignment horizontal="left" indent="1"/>
    </xf>
    <xf numFmtId="165" fontId="1" fillId="0" borderId="0" xfId="1" applyNumberFormat="1"/>
    <xf numFmtId="0" fontId="3" fillId="0" borderId="0" xfId="0" applyFont="1" applyBorder="1" applyAlignment="1">
      <alignment horizontal="left" indent="1"/>
    </xf>
    <xf numFmtId="9" fontId="3" fillId="0" borderId="0" xfId="0" applyNumberFormat="1" applyFont="1" applyBorder="1" applyAlignment="1">
      <alignment horizontal="center"/>
    </xf>
    <xf numFmtId="9" fontId="3" fillId="0" borderId="0" xfId="0" applyNumberFormat="1" applyFont="1" applyBorder="1" applyAlignment="1">
      <alignment horizontal="left" indent="1"/>
    </xf>
    <xf numFmtId="0" fontId="0" fillId="0" borderId="0" xfId="0" applyBorder="1"/>
    <xf numFmtId="165" fontId="1" fillId="0" borderId="2" xfId="1" applyNumberFormat="1" applyBorder="1"/>
    <xf numFmtId="0" fontId="4" fillId="0" borderId="0" xfId="0" applyFont="1"/>
    <xf numFmtId="165" fontId="4" fillId="0" borderId="0" xfId="1" applyNumberFormat="1" applyFont="1"/>
    <xf numFmtId="165" fontId="4" fillId="0" borderId="0" xfId="0" applyNumberFormat="1" applyFont="1"/>
    <xf numFmtId="0" fontId="3" fillId="0" borderId="0" xfId="0" applyFont="1" applyFill="1" applyBorder="1" applyAlignment="1">
      <alignment horizontal="left"/>
    </xf>
    <xf numFmtId="9" fontId="0" fillId="0" borderId="0" xfId="0" applyNumberFormat="1"/>
    <xf numFmtId="164" fontId="0" fillId="0" borderId="0" xfId="0" applyNumberFormat="1"/>
    <xf numFmtId="0" fontId="3" fillId="0" borderId="0" xfId="0" applyFont="1" applyFill="1" applyBorder="1" applyAlignment="1">
      <alignment horizontal="left" indent="1"/>
    </xf>
    <xf numFmtId="0" fontId="4" fillId="0" borderId="3" xfId="0" applyFont="1" applyBorder="1"/>
    <xf numFmtId="0" fontId="0" fillId="0" borderId="3" xfId="0" applyBorder="1"/>
    <xf numFmtId="165" fontId="4" fillId="0" borderId="3" xfId="1" applyNumberFormat="1" applyFont="1" applyBorder="1"/>
    <xf numFmtId="0" fontId="4" fillId="0" borderId="0" xfId="0" applyFont="1" applyBorder="1"/>
    <xf numFmtId="164" fontId="4" fillId="0" borderId="0" xfId="0" applyNumberFormat="1" applyFont="1" applyBorder="1"/>
    <xf numFmtId="0" fontId="0" fillId="0" borderId="0" xfId="0" applyAlignment="1">
      <alignment horizontal="left" indent="1"/>
    </xf>
    <xf numFmtId="165" fontId="0" fillId="0" borderId="0" xfId="0" applyNumberFormat="1"/>
    <xf numFmtId="0" fontId="0" fillId="0" borderId="2" xfId="0" applyBorder="1"/>
    <xf numFmtId="0" fontId="4" fillId="0" borderId="3" xfId="0" applyFont="1" applyBorder="1" applyAlignment="1">
      <alignment horizontal="left"/>
    </xf>
    <xf numFmtId="0" fontId="0" fillId="0" borderId="0" xfId="0" applyAlignment="1">
      <alignment horizontal="left"/>
    </xf>
    <xf numFmtId="165" fontId="1" fillId="0" borderId="0" xfId="1" applyNumberFormat="1" applyBorder="1"/>
    <xf numFmtId="0" fontId="0" fillId="0" borderId="3" xfId="0" applyBorder="1" applyAlignment="1">
      <alignment horizontal="left"/>
    </xf>
    <xf numFmtId="165" fontId="1" fillId="0" borderId="3" xfId="1" applyNumberFormat="1" applyBorder="1"/>
    <xf numFmtId="10" fontId="0" fillId="0" borderId="0" xfId="0" applyNumberFormat="1"/>
    <xf numFmtId="165" fontId="0" fillId="0" borderId="0" xfId="1" applyNumberFormat="1" applyFont="1"/>
    <xf numFmtId="165" fontId="0" fillId="0" borderId="2" xfId="1" applyNumberFormat="1" applyFont="1" applyBorder="1"/>
    <xf numFmtId="10" fontId="0" fillId="0" borderId="0" xfId="3" applyNumberFormat="1" applyFont="1"/>
    <xf numFmtId="164" fontId="0" fillId="0" borderId="0" xfId="2" applyNumberFormat="1" applyFont="1"/>
    <xf numFmtId="0" fontId="3" fillId="0" borderId="3" xfId="0" applyFont="1" applyBorder="1" applyAlignment="1">
      <alignment horizontal="left" indent="1"/>
    </xf>
    <xf numFmtId="9" fontId="3" fillId="0" borderId="3" xfId="0" applyNumberFormat="1" applyFont="1" applyBorder="1" applyAlignment="1">
      <alignment horizontal="center"/>
    </xf>
    <xf numFmtId="9" fontId="3" fillId="0" borderId="3" xfId="0" applyNumberFormat="1" applyFont="1" applyBorder="1" applyAlignment="1">
      <alignment horizontal="left" indent="1"/>
    </xf>
    <xf numFmtId="165" fontId="0" fillId="0" borderId="3" xfId="1" applyNumberFormat="1" applyFont="1" applyBorder="1"/>
    <xf numFmtId="0" fontId="4" fillId="0" borderId="3" xfId="0" applyFont="1" applyFill="1" applyBorder="1" applyAlignment="1">
      <alignment horizontal="left"/>
    </xf>
    <xf numFmtId="165" fontId="2" fillId="0" borderId="3" xfId="0" applyNumberFormat="1" applyFont="1" applyBorder="1"/>
    <xf numFmtId="0" fontId="3" fillId="0" borderId="0" xfId="0" applyFont="1" applyFill="1" applyBorder="1" applyAlignment="1"/>
    <xf numFmtId="0" fontId="4" fillId="0" borderId="0" xfId="0" applyFont="1" applyAlignment="1"/>
    <xf numFmtId="0" fontId="0" fillId="0" borderId="0" xfId="0" applyAlignment="1"/>
    <xf numFmtId="0" fontId="2" fillId="0" borderId="0" xfId="0" applyFont="1" applyAlignment="1"/>
    <xf numFmtId="0" fontId="0" fillId="0" borderId="0" xfId="0" applyAlignment="1">
      <alignment horizontal="center"/>
    </xf>
    <xf numFmtId="0" fontId="0" fillId="0" borderId="0" xfId="0" applyFill="1" applyBorder="1" applyAlignment="1"/>
    <xf numFmtId="9" fontId="0" fillId="0" borderId="0" xfId="0" applyNumberFormat="1" applyFill="1" applyBorder="1" applyAlignment="1"/>
    <xf numFmtId="165" fontId="0" fillId="0" borderId="3" xfId="0" applyNumberFormat="1" applyFill="1" applyBorder="1" applyAlignment="1"/>
    <xf numFmtId="0" fontId="0" fillId="0" borderId="5" xfId="0" applyFill="1" applyBorder="1" applyAlignment="1"/>
    <xf numFmtId="0" fontId="8" fillId="3" borderId="4" xfId="0" applyFont="1" applyFill="1" applyBorder="1" applyAlignment="1">
      <alignment horizontal="right"/>
    </xf>
    <xf numFmtId="0" fontId="8" fillId="3" borderId="2" xfId="0" applyFont="1" applyFill="1" applyBorder="1" applyAlignment="1">
      <alignment horizontal="right"/>
    </xf>
    <xf numFmtId="166" fontId="2" fillId="2" borderId="1" xfId="0" applyNumberFormat="1" applyFont="1" applyFill="1" applyBorder="1" applyAlignment="1">
      <alignment horizontal="center"/>
    </xf>
    <xf numFmtId="9" fontId="1" fillId="0" borderId="0" xfId="0" applyNumberFormat="1" applyFont="1" applyAlignment="1">
      <alignment horizontal="center"/>
    </xf>
    <xf numFmtId="165" fontId="3" fillId="0" borderId="0" xfId="0" applyNumberFormat="1" applyFont="1"/>
    <xf numFmtId="0" fontId="0" fillId="0" borderId="4" xfId="0" applyBorder="1"/>
    <xf numFmtId="9" fontId="0" fillId="0" borderId="4" xfId="0" applyNumberFormat="1" applyBorder="1"/>
    <xf numFmtId="165" fontId="0" fillId="0" borderId="4" xfId="1" applyNumberFormat="1" applyFont="1" applyBorder="1"/>
    <xf numFmtId="165" fontId="0" fillId="0" borderId="4" xfId="0" applyNumberFormat="1" applyBorder="1"/>
    <xf numFmtId="165" fontId="0" fillId="0" borderId="2" xfId="0" applyNumberFormat="1" applyBorder="1"/>
    <xf numFmtId="0" fontId="2" fillId="0" borderId="0" xfId="0" applyFont="1"/>
    <xf numFmtId="165" fontId="2" fillId="0" borderId="0" xfId="1" applyNumberFormat="1" applyFont="1"/>
    <xf numFmtId="165" fontId="2" fillId="0" borderId="0" xfId="0" applyNumberFormat="1" applyFont="1"/>
    <xf numFmtId="0" fontId="3" fillId="0" borderId="4" xfId="0" applyFont="1" applyFill="1" applyBorder="1" applyAlignment="1"/>
    <xf numFmtId="0" fontId="3" fillId="0" borderId="0" xfId="0" applyFont="1"/>
    <xf numFmtId="0" fontId="9" fillId="3" borderId="2" xfId="0" applyFont="1" applyFill="1" applyBorder="1" applyAlignment="1">
      <alignment horizontal="left"/>
    </xf>
    <xf numFmtId="0" fontId="9" fillId="3" borderId="4" xfId="0" applyFont="1" applyFill="1" applyBorder="1" applyAlignment="1">
      <alignment horizontal="left"/>
    </xf>
    <xf numFmtId="0" fontId="10" fillId="4" borderId="0" xfId="0" applyFont="1" applyFill="1" applyBorder="1" applyAlignment="1">
      <alignment horizontal="left"/>
    </xf>
    <xf numFmtId="0" fontId="11" fillId="4" borderId="5" xfId="0" applyFont="1" applyFill="1" applyBorder="1" applyAlignment="1">
      <alignment horizontal="left"/>
    </xf>
    <xf numFmtId="0" fontId="10" fillId="4" borderId="3" xfId="0" applyFont="1" applyFill="1" applyBorder="1" applyAlignment="1">
      <alignment horizontal="left"/>
    </xf>
    <xf numFmtId="9" fontId="0" fillId="5" borderId="0" xfId="0" applyNumberFormat="1" applyFill="1" applyBorder="1" applyAlignment="1"/>
    <xf numFmtId="0" fontId="7" fillId="0" borderId="0" xfId="0" applyFont="1" applyFill="1" applyBorder="1" applyAlignment="1">
      <alignment vertical="top"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3" fillId="4" borderId="0" xfId="0" applyFont="1" applyFill="1" applyBorder="1" applyAlignment="1">
      <alignment horizontal="left"/>
    </xf>
    <xf numFmtId="0" fontId="14" fillId="4" borderId="5" xfId="0" applyFont="1" applyFill="1" applyBorder="1" applyAlignment="1">
      <alignment horizontal="left"/>
    </xf>
    <xf numFmtId="0" fontId="13" fillId="4" borderId="3" xfId="0" applyFont="1" applyFill="1" applyBorder="1" applyAlignment="1">
      <alignment horizontal="left"/>
    </xf>
    <xf numFmtId="0" fontId="8" fillId="3" borderId="2"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4</xdr:col>
      <xdr:colOff>1066800</xdr:colOff>
      <xdr:row>17</xdr:row>
      <xdr:rowOff>0</xdr:rowOff>
    </xdr:to>
    <xdr:sp macro="" textlink="">
      <xdr:nvSpPr>
        <xdr:cNvPr id="3" name="TextBox 2"/>
        <xdr:cNvSpPr txBox="1"/>
      </xdr:nvSpPr>
      <xdr:spPr>
        <a:xfrm>
          <a:off x="609600" y="2324100"/>
          <a:ext cx="54864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algn="l" defTabSz="914400" rtl="1" eaLnBrk="1" fontAlgn="auto" latinLnBrk="0" hangingPunct="1">
            <a:lnSpc>
              <a:spcPct val="100000"/>
            </a:lnSpc>
            <a:spcBef>
              <a:spcPts val="0"/>
            </a:spcBef>
            <a:spcAft>
              <a:spcPts val="0"/>
            </a:spcAft>
            <a:buClrTx/>
            <a:buSzTx/>
            <a:buFontTx/>
            <a:buNone/>
            <a:tabLst/>
            <a:defRPr/>
          </a:pPr>
          <a:r>
            <a:rPr lang="en-US" sz="1100" b="0" i="0" strike="noStrike">
              <a:solidFill>
                <a:srgbClr val="000000"/>
              </a:solidFill>
              <a:latin typeface="Times New Roman"/>
              <a:cs typeface="Times New Roman"/>
            </a:rPr>
            <a:t>It is clear that the total interest cost rises as the company shifts more of its inventory payments to the future. Therefore, it is more costly to borrow from suppliers than from the bank because</a:t>
          </a:r>
          <a:r>
            <a:rPr lang="en-US" sz="1100" b="0" i="0" strike="noStrike" baseline="0">
              <a:solidFill>
                <a:srgbClr val="000000"/>
              </a:solidFill>
              <a:latin typeface="Times New Roman"/>
              <a:cs typeface="Times New Roman"/>
            </a:rPr>
            <a:t> of the lost discounts</a:t>
          </a:r>
          <a:r>
            <a:rPr lang="en-US" sz="1100" b="0" i="0" strike="noStrike">
              <a:solidFill>
                <a:srgbClr val="000000"/>
              </a:solidFill>
              <a:latin typeface="Times New Roman"/>
              <a:cs typeface="Times New Roman"/>
            </a:rPr>
            <a:t>. The company should not engage in this strategy.</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4"/>
  <sheetViews>
    <sheetView showGridLines="0" tabSelected="1" zoomScaleNormal="100" workbookViewId="0">
      <selection activeCell="F10" sqref="F10"/>
    </sheetView>
  </sheetViews>
  <sheetFormatPr defaultRowHeight="15" x14ac:dyDescent="0.25"/>
  <cols>
    <col min="1" max="1" width="24.140625" bestFit="1" customWidth="1"/>
    <col min="2" max="8" width="11.28515625" customWidth="1"/>
  </cols>
  <sheetData>
    <row r="1" spans="1:8" x14ac:dyDescent="0.25">
      <c r="A1" t="s">
        <v>42</v>
      </c>
    </row>
    <row r="2" spans="1:8" x14ac:dyDescent="0.25">
      <c r="A2" s="1" t="s">
        <v>110</v>
      </c>
      <c r="B2" s="1"/>
      <c r="C2" s="1"/>
      <c r="D2" s="1"/>
      <c r="E2" s="1"/>
      <c r="F2" s="1"/>
      <c r="G2" s="1"/>
      <c r="H2" s="1"/>
    </row>
    <row r="3" spans="1:8" x14ac:dyDescent="0.25">
      <c r="A3" s="1" t="s">
        <v>43</v>
      </c>
      <c r="B3" s="1"/>
      <c r="C3" s="1"/>
      <c r="D3" s="1"/>
      <c r="E3" s="1"/>
      <c r="F3" s="1"/>
      <c r="G3" s="1"/>
      <c r="H3" s="1"/>
    </row>
    <row r="4" spans="1:8" ht="15.75" thickBot="1" x14ac:dyDescent="0.3">
      <c r="A4" s="1" t="str">
        <f>TEXT(C5,"mmmm")&amp;" "&amp;TEXT(YEAR(C5),"#")&amp;" to "&amp;TEXT(H5,"mmmm")&amp;" "&amp;TEXT(YEAR(B5),"#")</f>
        <v>February 2012 to July 2012</v>
      </c>
      <c r="B4" s="1"/>
      <c r="C4" s="1"/>
      <c r="D4" s="1"/>
      <c r="E4" s="1"/>
      <c r="F4" s="1"/>
      <c r="G4" s="1"/>
      <c r="H4" s="1"/>
    </row>
    <row r="5" spans="1:8" ht="15.75" thickBot="1" x14ac:dyDescent="0.3">
      <c r="A5" s="3"/>
      <c r="B5" s="59">
        <v>40909</v>
      </c>
      <c r="C5" s="59">
        <f t="shared" ref="C5:H5" si="0">DATE(YEAR(B5),MONTH(B5)+1,DAY(B5))</f>
        <v>40940</v>
      </c>
      <c r="D5" s="59">
        <f t="shared" si="0"/>
        <v>40969</v>
      </c>
      <c r="E5" s="59">
        <f t="shared" si="0"/>
        <v>41000</v>
      </c>
      <c r="F5" s="59">
        <f t="shared" si="0"/>
        <v>41030</v>
      </c>
      <c r="G5" s="59">
        <f t="shared" si="0"/>
        <v>41061</v>
      </c>
      <c r="H5" s="59">
        <f t="shared" si="0"/>
        <v>41091</v>
      </c>
    </row>
    <row r="6" spans="1:8" x14ac:dyDescent="0.25">
      <c r="A6" t="s">
        <v>46</v>
      </c>
      <c r="B6" s="38"/>
      <c r="C6" s="38">
        <f t="shared" ref="C6:H6" si="1">B10</f>
        <v>10000</v>
      </c>
      <c r="D6" s="38">
        <f t="shared" si="1"/>
        <v>7100</v>
      </c>
      <c r="E6" s="38">
        <f t="shared" si="1"/>
        <v>4600</v>
      </c>
      <c r="F6" s="38">
        <f t="shared" si="1"/>
        <v>5700</v>
      </c>
      <c r="G6" s="38">
        <f t="shared" si="1"/>
        <v>10500</v>
      </c>
      <c r="H6" s="38">
        <f t="shared" si="1"/>
        <v>16300</v>
      </c>
    </row>
    <row r="7" spans="1:8" x14ac:dyDescent="0.25">
      <c r="A7" s="29" t="s">
        <v>47</v>
      </c>
      <c r="B7" s="38"/>
      <c r="C7" s="38">
        <v>16500</v>
      </c>
      <c r="D7" s="38">
        <v>18300</v>
      </c>
      <c r="E7" s="38">
        <v>22700</v>
      </c>
      <c r="F7" s="38">
        <v>29100</v>
      </c>
      <c r="G7" s="38">
        <v>32500</v>
      </c>
      <c r="H7" s="38">
        <v>36000</v>
      </c>
    </row>
    <row r="8" spans="1:8" x14ac:dyDescent="0.25">
      <c r="A8" s="29" t="s">
        <v>48</v>
      </c>
      <c r="B8" s="39"/>
      <c r="C8" s="39">
        <v>19400</v>
      </c>
      <c r="D8" s="39">
        <v>20800</v>
      </c>
      <c r="E8" s="39">
        <v>21600</v>
      </c>
      <c r="F8" s="39">
        <v>24300</v>
      </c>
      <c r="G8" s="39">
        <v>26700</v>
      </c>
      <c r="H8" s="39">
        <v>27200</v>
      </c>
    </row>
    <row r="9" spans="1:8" x14ac:dyDescent="0.25">
      <c r="A9" t="s">
        <v>35</v>
      </c>
      <c r="B9" s="38"/>
      <c r="C9" s="38">
        <f t="shared" ref="C9:H9" si="2">C6+C7-C8</f>
        <v>7100</v>
      </c>
      <c r="D9" s="38">
        <f t="shared" si="2"/>
        <v>4600</v>
      </c>
      <c r="E9" s="38">
        <f t="shared" si="2"/>
        <v>5700</v>
      </c>
      <c r="F9" s="38">
        <f t="shared" si="2"/>
        <v>10500</v>
      </c>
      <c r="G9" s="38">
        <f t="shared" si="2"/>
        <v>16300</v>
      </c>
      <c r="H9" s="38">
        <f t="shared" si="2"/>
        <v>25100</v>
      </c>
    </row>
    <row r="10" spans="1:8" x14ac:dyDescent="0.25">
      <c r="A10" t="s">
        <v>37</v>
      </c>
      <c r="B10" s="38">
        <v>10000</v>
      </c>
      <c r="C10" s="38">
        <f t="shared" ref="C10:H10" si="3">C9</f>
        <v>7100</v>
      </c>
      <c r="D10" s="38">
        <f t="shared" si="3"/>
        <v>4600</v>
      </c>
      <c r="E10" s="38">
        <f t="shared" si="3"/>
        <v>5700</v>
      </c>
      <c r="F10" s="38">
        <f t="shared" si="3"/>
        <v>10500</v>
      </c>
      <c r="G10" s="38">
        <f t="shared" si="3"/>
        <v>16300</v>
      </c>
      <c r="H10" s="38">
        <f t="shared" si="3"/>
        <v>25100</v>
      </c>
    </row>
    <row r="12" spans="1:8" x14ac:dyDescent="0.25">
      <c r="A12" t="s">
        <v>49</v>
      </c>
    </row>
    <row r="13" spans="1:8" x14ac:dyDescent="0.25">
      <c r="A13" s="1" t="str">
        <f>A2</f>
        <v>Lakewood Laser SkinCare</v>
      </c>
      <c r="B13" s="1"/>
      <c r="C13" s="1"/>
      <c r="D13" s="1"/>
      <c r="E13" s="1"/>
      <c r="F13" s="1"/>
      <c r="G13" s="1"/>
      <c r="H13" s="1"/>
    </row>
    <row r="14" spans="1:8" x14ac:dyDescent="0.25">
      <c r="A14" s="1" t="str">
        <f>A3</f>
        <v>Forecasted Ending Cash Balance</v>
      </c>
      <c r="B14" s="1"/>
      <c r="C14" s="1"/>
      <c r="D14" s="1"/>
      <c r="E14" s="1"/>
      <c r="F14" s="1"/>
      <c r="G14" s="1"/>
      <c r="H14" s="1"/>
    </row>
    <row r="15" spans="1:8" ht="15.75" thickBot="1" x14ac:dyDescent="0.3">
      <c r="A15" s="1" t="str">
        <f>A4</f>
        <v>February 2012 to July 2012</v>
      </c>
      <c r="B15" s="1"/>
      <c r="C15" s="1"/>
      <c r="D15" s="1"/>
      <c r="E15" s="1"/>
      <c r="F15" s="1"/>
      <c r="G15" s="1"/>
      <c r="H15" s="1"/>
    </row>
    <row r="16" spans="1:8" ht="15.75" thickBot="1" x14ac:dyDescent="0.3">
      <c r="A16" s="3"/>
      <c r="B16" s="59">
        <f>B5</f>
        <v>40909</v>
      </c>
      <c r="C16" s="59">
        <f t="shared" ref="C16:H16" si="4">C5</f>
        <v>40940</v>
      </c>
      <c r="D16" s="59">
        <f t="shared" si="4"/>
        <v>40969</v>
      </c>
      <c r="E16" s="59">
        <f t="shared" si="4"/>
        <v>41000</v>
      </c>
      <c r="F16" s="59">
        <f t="shared" si="4"/>
        <v>41030</v>
      </c>
      <c r="G16" s="59">
        <f t="shared" si="4"/>
        <v>41061</v>
      </c>
      <c r="H16" s="59">
        <f t="shared" si="4"/>
        <v>41091</v>
      </c>
    </row>
    <row r="17" spans="1:8" x14ac:dyDescent="0.25">
      <c r="A17" t="s">
        <v>46</v>
      </c>
      <c r="B17" s="38"/>
      <c r="C17" s="38">
        <f t="shared" ref="C17:H17" si="5">B22</f>
        <v>10000</v>
      </c>
      <c r="D17" s="38">
        <f t="shared" si="5"/>
        <v>9000</v>
      </c>
      <c r="E17" s="38">
        <f t="shared" si="5"/>
        <v>9000</v>
      </c>
      <c r="F17" s="38">
        <f t="shared" si="5"/>
        <v>10100</v>
      </c>
      <c r="G17" s="38">
        <f t="shared" si="5"/>
        <v>14900</v>
      </c>
      <c r="H17" s="38">
        <f t="shared" si="5"/>
        <v>20700</v>
      </c>
    </row>
    <row r="18" spans="1:8" x14ac:dyDescent="0.25">
      <c r="A18" s="29" t="s">
        <v>47</v>
      </c>
      <c r="B18" s="38"/>
      <c r="C18" s="38">
        <f>C7</f>
        <v>16500</v>
      </c>
      <c r="D18" s="38">
        <f t="shared" ref="D18:H18" si="6">D7</f>
        <v>18300</v>
      </c>
      <c r="E18" s="38">
        <f t="shared" si="6"/>
        <v>22700</v>
      </c>
      <c r="F18" s="38">
        <f t="shared" si="6"/>
        <v>29100</v>
      </c>
      <c r="G18" s="38">
        <f t="shared" si="6"/>
        <v>32500</v>
      </c>
      <c r="H18" s="38">
        <f t="shared" si="6"/>
        <v>36000</v>
      </c>
    </row>
    <row r="19" spans="1:8" x14ac:dyDescent="0.25">
      <c r="A19" s="29" t="s">
        <v>48</v>
      </c>
      <c r="B19" s="39"/>
      <c r="C19" s="39">
        <f>C8</f>
        <v>19400</v>
      </c>
      <c r="D19" s="39">
        <f t="shared" ref="D19:H19" si="7">D8</f>
        <v>20800</v>
      </c>
      <c r="E19" s="39">
        <f t="shared" si="7"/>
        <v>21600</v>
      </c>
      <c r="F19" s="39">
        <f t="shared" si="7"/>
        <v>24300</v>
      </c>
      <c r="G19" s="39">
        <f t="shared" si="7"/>
        <v>26700</v>
      </c>
      <c r="H19" s="39">
        <f t="shared" si="7"/>
        <v>27200</v>
      </c>
    </row>
    <row r="20" spans="1:8" x14ac:dyDescent="0.25">
      <c r="A20" t="s">
        <v>35</v>
      </c>
      <c r="B20" s="38"/>
      <c r="C20" s="38">
        <f t="shared" ref="C20:H20" si="8">C17+C18-C19</f>
        <v>7100</v>
      </c>
      <c r="D20" s="38">
        <f t="shared" si="8"/>
        <v>6500</v>
      </c>
      <c r="E20" s="38">
        <f t="shared" si="8"/>
        <v>10100</v>
      </c>
      <c r="F20" s="38">
        <f t="shared" si="8"/>
        <v>14900</v>
      </c>
      <c r="G20" s="38">
        <f t="shared" si="8"/>
        <v>20700</v>
      </c>
      <c r="H20" s="38">
        <f t="shared" si="8"/>
        <v>29500</v>
      </c>
    </row>
    <row r="21" spans="1:8" x14ac:dyDescent="0.25">
      <c r="A21" s="29" t="s">
        <v>50</v>
      </c>
      <c r="B21" s="38"/>
      <c r="C21" s="38">
        <f t="shared" ref="C21:H21" si="9">IF(C20&lt;$B$24,$B$24-C20,0)</f>
        <v>1900</v>
      </c>
      <c r="D21" s="38">
        <f t="shared" si="9"/>
        <v>2500</v>
      </c>
      <c r="E21" s="38">
        <f t="shared" si="9"/>
        <v>0</v>
      </c>
      <c r="F21" s="38">
        <f t="shared" si="9"/>
        <v>0</v>
      </c>
      <c r="G21" s="38">
        <f t="shared" si="9"/>
        <v>0</v>
      </c>
      <c r="H21" s="38">
        <f t="shared" si="9"/>
        <v>0</v>
      </c>
    </row>
    <row r="22" spans="1:8" x14ac:dyDescent="0.25">
      <c r="A22" t="s">
        <v>37</v>
      </c>
      <c r="B22" s="38">
        <f>B10</f>
        <v>10000</v>
      </c>
      <c r="C22" s="38">
        <f t="shared" ref="C22:H22" si="10">C20+C21</f>
        <v>9000</v>
      </c>
      <c r="D22" s="38">
        <f t="shared" si="10"/>
        <v>9000</v>
      </c>
      <c r="E22" s="38">
        <f t="shared" si="10"/>
        <v>10100</v>
      </c>
      <c r="F22" s="38">
        <f t="shared" si="10"/>
        <v>14900</v>
      </c>
      <c r="G22" s="38">
        <f t="shared" si="10"/>
        <v>20700</v>
      </c>
      <c r="H22" s="38">
        <f t="shared" si="10"/>
        <v>29500</v>
      </c>
    </row>
    <row r="24" spans="1:8" x14ac:dyDescent="0.25">
      <c r="A24" t="s">
        <v>51</v>
      </c>
      <c r="B24" s="38">
        <v>9000</v>
      </c>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showGridLines="0" zoomScaleNormal="100" workbookViewId="0">
      <pane xSplit="1" ySplit="4" topLeftCell="B5" activePane="bottomRight" state="frozen"/>
      <selection pane="topRight" activeCell="B1" sqref="B1"/>
      <selection pane="bottomLeft" activeCell="A5" sqref="A5"/>
      <selection pane="bottomRight" activeCell="K23" sqref="K23"/>
    </sheetView>
  </sheetViews>
  <sheetFormatPr defaultRowHeight="15" x14ac:dyDescent="0.25"/>
  <cols>
    <col min="1" max="1" width="31.7109375" bestFit="1" customWidth="1"/>
    <col min="2" max="2" width="10.42578125" bestFit="1" customWidth="1"/>
    <col min="3" max="6" width="11.42578125" bestFit="1" customWidth="1"/>
    <col min="7" max="7" width="10.42578125" bestFit="1" customWidth="1"/>
    <col min="8" max="8" width="11" bestFit="1" customWidth="1"/>
    <col min="9" max="10" width="10.85546875" bestFit="1" customWidth="1"/>
  </cols>
  <sheetData>
    <row r="1" spans="1:10" x14ac:dyDescent="0.25">
      <c r="A1" s="2" t="s">
        <v>85</v>
      </c>
      <c r="B1" s="2"/>
      <c r="C1" s="2"/>
      <c r="D1" s="2"/>
      <c r="E1" s="2"/>
      <c r="F1" s="2"/>
      <c r="G1" s="2"/>
      <c r="H1" s="2"/>
      <c r="I1" s="2"/>
    </row>
    <row r="2" spans="1:10" x14ac:dyDescent="0.25">
      <c r="A2" s="2" t="s">
        <v>54</v>
      </c>
      <c r="B2" s="2"/>
      <c r="C2" s="2"/>
      <c r="D2" s="2"/>
      <c r="E2" s="2"/>
      <c r="F2" s="2"/>
      <c r="G2" s="2"/>
      <c r="H2" s="2"/>
      <c r="I2" s="2"/>
    </row>
    <row r="3" spans="1:10" ht="15.75" thickBot="1" x14ac:dyDescent="0.3">
      <c r="A3" s="2" t="str">
        <f>TEXT(E4,"mmmm")&amp;" "&amp;TEXT(YEAR(E4),"#")&amp;" to "&amp;TEXT(I4,"mmmm")&amp;" "&amp;TEXT(YEAR(C4),"#")</f>
        <v>June 2012 to October 2012</v>
      </c>
      <c r="B3" s="2"/>
      <c r="C3" s="2"/>
      <c r="D3" s="2"/>
      <c r="E3" s="2"/>
      <c r="F3" s="2"/>
      <c r="G3" s="2"/>
      <c r="H3" s="2"/>
      <c r="I3" s="2"/>
    </row>
    <row r="4" spans="1:10" ht="15.75" thickBot="1" x14ac:dyDescent="0.3">
      <c r="A4" s="59"/>
      <c r="B4" s="59"/>
      <c r="C4" s="59">
        <v>41000</v>
      </c>
      <c r="D4" s="59">
        <f>DATE(YEAR(C4),MONTH(C4)+1,DAY(C4))</f>
        <v>41030</v>
      </c>
      <c r="E4" s="59">
        <f t="shared" ref="E4:J4" si="0">DATE(YEAR(D4),MONTH(D4)+1,DAY(D4))</f>
        <v>41061</v>
      </c>
      <c r="F4" s="59">
        <f t="shared" si="0"/>
        <v>41091</v>
      </c>
      <c r="G4" s="59">
        <f t="shared" si="0"/>
        <v>41122</v>
      </c>
      <c r="H4" s="59">
        <f t="shared" si="0"/>
        <v>41153</v>
      </c>
      <c r="I4" s="59">
        <f t="shared" si="0"/>
        <v>41183</v>
      </c>
      <c r="J4" s="59">
        <f t="shared" si="0"/>
        <v>41214</v>
      </c>
    </row>
    <row r="5" spans="1:10" x14ac:dyDescent="0.25">
      <c r="A5" t="s">
        <v>86</v>
      </c>
      <c r="C5" s="38">
        <v>115000</v>
      </c>
      <c r="D5" s="38">
        <v>135000</v>
      </c>
      <c r="E5" s="38">
        <v>172000</v>
      </c>
      <c r="F5" s="38">
        <v>142000</v>
      </c>
      <c r="G5" s="38">
        <v>121000</v>
      </c>
      <c r="H5" s="38">
        <v>93000</v>
      </c>
      <c r="I5" s="38">
        <v>76000</v>
      </c>
      <c r="J5" s="38">
        <v>81000</v>
      </c>
    </row>
    <row r="6" spans="1:10" x14ac:dyDescent="0.25">
      <c r="A6" t="s">
        <v>11</v>
      </c>
      <c r="C6" s="38"/>
      <c r="D6" s="38"/>
      <c r="E6" s="38"/>
      <c r="F6" s="38"/>
      <c r="G6" s="38"/>
      <c r="H6" s="38"/>
      <c r="I6" s="38"/>
    </row>
    <row r="7" spans="1:10" x14ac:dyDescent="0.25">
      <c r="A7" s="29" t="s">
        <v>12</v>
      </c>
      <c r="B7" s="21">
        <v>0.35</v>
      </c>
      <c r="C7" s="38"/>
      <c r="D7" s="38"/>
      <c r="E7" s="38">
        <f>$B$7*E5</f>
        <v>60199.999999999993</v>
      </c>
      <c r="F7" s="38">
        <f>$B$7*F5</f>
        <v>49700</v>
      </c>
      <c r="G7" s="38">
        <f>$B$7*G5</f>
        <v>42350</v>
      </c>
      <c r="H7" s="38">
        <f>$B$7*H5</f>
        <v>32549.999999999996</v>
      </c>
      <c r="I7" s="38">
        <f>$B$7*I5</f>
        <v>26600</v>
      </c>
    </row>
    <row r="8" spans="1:10" x14ac:dyDescent="0.25">
      <c r="A8" s="29" t="s">
        <v>13</v>
      </c>
      <c r="B8" s="21">
        <v>0.55000000000000004</v>
      </c>
      <c r="C8" s="38"/>
      <c r="D8" s="38"/>
      <c r="E8" s="38">
        <f>$B$8*D5</f>
        <v>74250</v>
      </c>
      <c r="F8" s="38">
        <f>$B$8*E5</f>
        <v>94600.000000000015</v>
      </c>
      <c r="G8" s="38">
        <f>$B$8*F5</f>
        <v>78100</v>
      </c>
      <c r="H8" s="38">
        <f>$B$8*G5</f>
        <v>66550</v>
      </c>
      <c r="I8" s="38">
        <f>$B$8*H5</f>
        <v>51150.000000000007</v>
      </c>
    </row>
    <row r="9" spans="1:10" x14ac:dyDescent="0.25">
      <c r="A9" s="29" t="s">
        <v>14</v>
      </c>
      <c r="B9" s="21">
        <f>1-SUM(B7:B8)</f>
        <v>9.9999999999999978E-2</v>
      </c>
      <c r="C9" s="38"/>
      <c r="D9" s="38"/>
      <c r="E9" s="39">
        <f>$B$9*C5</f>
        <v>11499.999999999998</v>
      </c>
      <c r="F9" s="39">
        <f>$B$9*D5</f>
        <v>13499.999999999996</v>
      </c>
      <c r="G9" s="39">
        <f>$B$9*E5</f>
        <v>17199.999999999996</v>
      </c>
      <c r="H9" s="39">
        <f>$B$9*F5</f>
        <v>14199.999999999996</v>
      </c>
      <c r="I9" s="39">
        <f>$B$9*G5</f>
        <v>12099.999999999998</v>
      </c>
    </row>
    <row r="10" spans="1:10" ht="15.75" thickBot="1" x14ac:dyDescent="0.3">
      <c r="A10" s="67" t="s">
        <v>15</v>
      </c>
      <c r="C10" s="38"/>
      <c r="D10" s="38"/>
      <c r="E10" s="68">
        <f>SUM(E7:E9)</f>
        <v>145950</v>
      </c>
      <c r="F10" s="68">
        <f>SUM(F7:F9)</f>
        <v>157800</v>
      </c>
      <c r="G10" s="68">
        <f>SUM(G7:G9)</f>
        <v>137650</v>
      </c>
      <c r="H10" s="68">
        <f>SUM(H7:H9)</f>
        <v>113300</v>
      </c>
      <c r="I10" s="68">
        <f>SUM(I7:I9)</f>
        <v>89850</v>
      </c>
    </row>
    <row r="11" spans="1:10" x14ac:dyDescent="0.25">
      <c r="A11" s="62" t="s">
        <v>89</v>
      </c>
      <c r="B11" s="63">
        <v>0.6</v>
      </c>
      <c r="C11" s="64"/>
      <c r="D11" s="64">
        <f t="shared" ref="D11:I11" si="1">$B$11*E5</f>
        <v>103200</v>
      </c>
      <c r="E11" s="64">
        <f t="shared" si="1"/>
        <v>85200</v>
      </c>
      <c r="F11" s="64">
        <f t="shared" si="1"/>
        <v>72600</v>
      </c>
      <c r="G11" s="64">
        <f t="shared" si="1"/>
        <v>55800</v>
      </c>
      <c r="H11" s="64">
        <f t="shared" si="1"/>
        <v>45600</v>
      </c>
      <c r="I11" s="64">
        <f t="shared" si="1"/>
        <v>48600</v>
      </c>
    </row>
    <row r="12" spans="1:10" x14ac:dyDescent="0.25">
      <c r="A12" s="33" t="s">
        <v>17</v>
      </c>
      <c r="C12" s="38"/>
      <c r="D12" s="38"/>
      <c r="E12" s="38"/>
      <c r="F12" s="38"/>
      <c r="G12" s="38"/>
      <c r="H12" s="38"/>
      <c r="I12" s="38"/>
    </row>
    <row r="13" spans="1:10" x14ac:dyDescent="0.25">
      <c r="A13" s="29" t="s">
        <v>88</v>
      </c>
      <c r="B13" s="21">
        <v>0.4</v>
      </c>
      <c r="C13" s="38"/>
      <c r="D13" s="38"/>
      <c r="E13" s="38">
        <f>$B$13*E11*(1-$B$31)</f>
        <v>33398.400000000001</v>
      </c>
      <c r="F13" s="38">
        <f>$B$13*F11*(1-$B$31)</f>
        <v>28459.200000000001</v>
      </c>
      <c r="G13" s="38">
        <f>$B$13*G11*(1-$B$31)</f>
        <v>21873.599999999999</v>
      </c>
      <c r="H13" s="38">
        <f>$B$13*H11*(1-$B$31)</f>
        <v>17875.2</v>
      </c>
      <c r="I13" s="38">
        <f>$B$13*I11*(1-$B$31)</f>
        <v>19051.2</v>
      </c>
    </row>
    <row r="14" spans="1:10" x14ac:dyDescent="0.25">
      <c r="A14" s="29" t="s">
        <v>93</v>
      </c>
      <c r="B14" s="21">
        <f>1-B13</f>
        <v>0.6</v>
      </c>
      <c r="C14" s="38"/>
      <c r="D14" s="38"/>
      <c r="E14" s="39">
        <f>$B$14*D11</f>
        <v>61920</v>
      </c>
      <c r="F14" s="39">
        <f>$B$14*E11</f>
        <v>51120</v>
      </c>
      <c r="G14" s="39">
        <f>$B$14*F11</f>
        <v>43560</v>
      </c>
      <c r="H14" s="39">
        <f>$B$14*G11</f>
        <v>33480</v>
      </c>
      <c r="I14" s="39">
        <f>$B$14*H11</f>
        <v>27360</v>
      </c>
    </row>
    <row r="15" spans="1:10" ht="15.75" thickBot="1" x14ac:dyDescent="0.3">
      <c r="A15" s="67" t="s">
        <v>18</v>
      </c>
      <c r="E15" s="69">
        <f>SUM(E13:E14)</f>
        <v>95318.399999999994</v>
      </c>
      <c r="F15" s="69">
        <f>SUM(F13:F14)</f>
        <v>79579.199999999997</v>
      </c>
      <c r="G15" s="69">
        <f>SUM(G13:G14)</f>
        <v>65433.599999999999</v>
      </c>
      <c r="H15" s="69">
        <f>SUM(H13:H14)</f>
        <v>51355.199999999997</v>
      </c>
      <c r="I15" s="69">
        <f>SUM(I13:I14)</f>
        <v>46411.199999999997</v>
      </c>
    </row>
    <row r="16" spans="1:10" x14ac:dyDescent="0.25">
      <c r="A16" s="62" t="s">
        <v>87</v>
      </c>
      <c r="B16" s="62"/>
      <c r="C16" s="62"/>
      <c r="D16" s="62"/>
      <c r="E16" s="65">
        <f>E10</f>
        <v>145950</v>
      </c>
      <c r="F16" s="65">
        <f>F10</f>
        <v>157800</v>
      </c>
      <c r="G16" s="65">
        <f>G10</f>
        <v>137650</v>
      </c>
      <c r="H16" s="65">
        <f>H10</f>
        <v>113300</v>
      </c>
      <c r="I16" s="65">
        <f>I10</f>
        <v>89850</v>
      </c>
    </row>
    <row r="17" spans="1:9" x14ac:dyDescent="0.25">
      <c r="A17" t="s">
        <v>57</v>
      </c>
    </row>
    <row r="18" spans="1:9" x14ac:dyDescent="0.25">
      <c r="A18" s="29" t="s">
        <v>21</v>
      </c>
      <c r="E18" s="30">
        <f>E15</f>
        <v>95318.399999999994</v>
      </c>
      <c r="F18" s="30">
        <f>F15</f>
        <v>79579.199999999997</v>
      </c>
      <c r="G18" s="30">
        <f>G15</f>
        <v>65433.599999999999</v>
      </c>
      <c r="H18" s="30">
        <f>H15</f>
        <v>51355.199999999997</v>
      </c>
      <c r="I18" s="30">
        <f>I15</f>
        <v>46411.199999999997</v>
      </c>
    </row>
    <row r="19" spans="1:9" x14ac:dyDescent="0.25">
      <c r="A19" s="29" t="s">
        <v>92</v>
      </c>
      <c r="E19" s="30">
        <f>$B$33*D28</f>
        <v>0</v>
      </c>
      <c r="F19" s="30">
        <f>$B$33*E28</f>
        <v>121.84199999999997</v>
      </c>
      <c r="G19" s="30">
        <f>$B$33*F28</f>
        <v>106.34721000000005</v>
      </c>
      <c r="H19" s="30">
        <f>$B$33*G28</f>
        <v>95.796946050000116</v>
      </c>
      <c r="I19" s="30">
        <f>$B$33*H28</f>
        <v>36.551930780250117</v>
      </c>
    </row>
    <row r="20" spans="1:9" x14ac:dyDescent="0.25">
      <c r="A20" s="29" t="s">
        <v>90</v>
      </c>
      <c r="B20" s="21"/>
      <c r="E20" s="66">
        <v>80000</v>
      </c>
      <c r="F20" s="66">
        <v>75000</v>
      </c>
      <c r="G20" s="66">
        <v>70000</v>
      </c>
      <c r="H20" s="66">
        <v>50000</v>
      </c>
      <c r="I20" s="66">
        <v>45000</v>
      </c>
    </row>
    <row r="21" spans="1:9" ht="15.75" thickBot="1" x14ac:dyDescent="0.3">
      <c r="A21" s="67" t="s">
        <v>64</v>
      </c>
      <c r="E21" s="69">
        <f>SUM(E18:E20)</f>
        <v>175318.39999999999</v>
      </c>
      <c r="F21" s="69">
        <f>SUM(F18:F20)</f>
        <v>154701.04200000002</v>
      </c>
      <c r="G21" s="69">
        <f>SUM(G18:G20)</f>
        <v>135539.94721000001</v>
      </c>
      <c r="H21" s="69">
        <f>SUM(H18:H20)</f>
        <v>101450.99694605</v>
      </c>
      <c r="I21" s="69">
        <f>SUM(I18:I20)</f>
        <v>91447.751930780243</v>
      </c>
    </row>
    <row r="22" spans="1:9" x14ac:dyDescent="0.25">
      <c r="A22" s="70" t="s">
        <v>32</v>
      </c>
      <c r="B22" s="62"/>
      <c r="C22" s="62"/>
      <c r="D22" s="64"/>
      <c r="E22" s="64">
        <f>D26</f>
        <v>30000</v>
      </c>
      <c r="F22" s="64">
        <f>E26</f>
        <v>25000</v>
      </c>
      <c r="G22" s="64">
        <f>F26</f>
        <v>25000</v>
      </c>
      <c r="H22" s="64">
        <f>G26</f>
        <v>25000</v>
      </c>
      <c r="I22" s="64">
        <f>H26</f>
        <v>25000</v>
      </c>
    </row>
    <row r="23" spans="1:9" x14ac:dyDescent="0.25">
      <c r="A23" s="23" t="s">
        <v>91</v>
      </c>
      <c r="D23" s="38"/>
      <c r="E23" s="39">
        <f>E16-E21</f>
        <v>-29368.399999999994</v>
      </c>
      <c r="F23" s="39">
        <f>F16-F21</f>
        <v>3098.9579999999842</v>
      </c>
      <c r="G23" s="39">
        <f>G16-G21</f>
        <v>2110.052789999987</v>
      </c>
      <c r="H23" s="39">
        <f>H16-H21</f>
        <v>11849.00305395</v>
      </c>
      <c r="I23" s="39">
        <f>I16-I21</f>
        <v>-1597.7519307802431</v>
      </c>
    </row>
    <row r="24" spans="1:9" x14ac:dyDescent="0.25">
      <c r="A24" s="20" t="s">
        <v>35</v>
      </c>
      <c r="D24" s="38">
        <v>30000</v>
      </c>
      <c r="E24" s="38">
        <f>E22+E23</f>
        <v>631.60000000000582</v>
      </c>
      <c r="F24" s="38">
        <f>F22+F23</f>
        <v>28098.957999999984</v>
      </c>
      <c r="G24" s="38">
        <f>G22+G23</f>
        <v>27110.052789999987</v>
      </c>
      <c r="H24" s="38">
        <f>H22+H23</f>
        <v>36849.00305395</v>
      </c>
      <c r="I24" s="38">
        <f>I22+I23</f>
        <v>23402.248069219757</v>
      </c>
    </row>
    <row r="25" spans="1:9" x14ac:dyDescent="0.25">
      <c r="A25" s="29" t="s">
        <v>66</v>
      </c>
      <c r="D25" s="39">
        <f>IF(D24&lt;$B$30,$B$30-D24,IF(C28&gt;0,-MIN(D24-$B$30,C28),0))</f>
        <v>0</v>
      </c>
      <c r="E25" s="39">
        <f>$B$30-E24</f>
        <v>24368.399999999994</v>
      </c>
      <c r="F25" s="39">
        <f t="shared" ref="F25:I25" si="2">$B$30-F24</f>
        <v>-3098.9579999999842</v>
      </c>
      <c r="G25" s="39">
        <f t="shared" si="2"/>
        <v>-2110.052789999987</v>
      </c>
      <c r="H25" s="39">
        <f t="shared" si="2"/>
        <v>-11849.00305395</v>
      </c>
      <c r="I25" s="39">
        <f t="shared" si="2"/>
        <v>1597.7519307802431</v>
      </c>
    </row>
    <row r="26" spans="1:9" x14ac:dyDescent="0.25">
      <c r="A26" s="49" t="s">
        <v>37</v>
      </c>
      <c r="D26" s="38">
        <f t="shared" ref="D26:I26" si="3">D24+D25</f>
        <v>30000</v>
      </c>
      <c r="E26" s="38">
        <f t="shared" si="3"/>
        <v>25000</v>
      </c>
      <c r="F26" s="38">
        <f t="shared" si="3"/>
        <v>25000</v>
      </c>
      <c r="G26" s="38">
        <f t="shared" si="3"/>
        <v>25000</v>
      </c>
      <c r="H26" s="38">
        <f t="shared" si="3"/>
        <v>25000</v>
      </c>
      <c r="I26" s="38">
        <f t="shared" si="3"/>
        <v>25000</v>
      </c>
    </row>
    <row r="28" spans="1:9" x14ac:dyDescent="0.25">
      <c r="A28" t="s">
        <v>38</v>
      </c>
      <c r="D28" s="30">
        <f t="shared" ref="D28:I28" si="4">C28+D25</f>
        <v>0</v>
      </c>
      <c r="E28" s="30">
        <f>MAX(E25+D28,0)</f>
        <v>24368.399999999994</v>
      </c>
      <c r="F28" s="30">
        <f t="shared" ref="F28:I28" si="5">MAX(F25+E28,0)</f>
        <v>21269.44200000001</v>
      </c>
      <c r="G28" s="30">
        <f t="shared" si="5"/>
        <v>19159.389210000023</v>
      </c>
      <c r="H28" s="30">
        <f t="shared" si="5"/>
        <v>7310.3861560500227</v>
      </c>
      <c r="I28" s="30">
        <f t="shared" si="5"/>
        <v>8908.1380868302658</v>
      </c>
    </row>
    <row r="29" spans="1:9" x14ac:dyDescent="0.25">
      <c r="D29" s="30"/>
      <c r="E29" s="30"/>
      <c r="F29" s="30"/>
      <c r="G29" s="30"/>
      <c r="H29" s="30"/>
      <c r="I29" s="30"/>
    </row>
    <row r="30" spans="1:9" x14ac:dyDescent="0.25">
      <c r="A30" t="s">
        <v>39</v>
      </c>
      <c r="B30" s="38">
        <v>25000</v>
      </c>
    </row>
    <row r="31" spans="1:9" x14ac:dyDescent="0.25">
      <c r="A31" t="s">
        <v>94</v>
      </c>
      <c r="B31" s="40">
        <v>0.02</v>
      </c>
      <c r="E31" s="30"/>
      <c r="F31" s="30"/>
      <c r="G31" s="30"/>
      <c r="H31" s="30"/>
      <c r="I31" s="30"/>
    </row>
    <row r="32" spans="1:9" x14ac:dyDescent="0.25">
      <c r="A32" t="s">
        <v>52</v>
      </c>
      <c r="B32" s="37">
        <v>0.06</v>
      </c>
    </row>
    <row r="33" spans="1:2" x14ac:dyDescent="0.25">
      <c r="A33" t="s">
        <v>53</v>
      </c>
      <c r="B33" s="40">
        <f>B32/12</f>
        <v>5.0000000000000001E-3</v>
      </c>
    </row>
    <row r="35" spans="1:2" x14ac:dyDescent="0.25">
      <c r="A35" t="s">
        <v>95</v>
      </c>
      <c r="B35" s="30">
        <f>SUM(E19:I19)</f>
        <v>360.53808683025022</v>
      </c>
    </row>
  </sheetData>
  <scenarios current="4" show="4" sqref="B34">
    <scenario name="0% Payments During Month" locked="1" count="1" user="Timothy R. Mayes, Ph.D." comment="Created by Timothy R. Mayes, Ph.D. on 6/5/2011">
      <inputCells r="B13" val="0" numFmtId="9"/>
    </scenario>
    <scenario name="10% Payments During Month" locked="1" count="1" user="Timothy R. Mayes, Ph.D." comment="Created by Timothy R. Mayes, Ph.D. on 6/5/2011">
      <inputCells r="B13" val="0.1" numFmtId="9"/>
    </scenario>
    <scenario name="20% Payments During Month" locked="1" count="1" user="Timothy R. Mayes, Ph.D." comment="Created by Timothy R. Mayes, Ph.D. on 6/5/2011">
      <inputCells r="B13" val="0.2" numFmtId="9"/>
    </scenario>
    <scenario name="30% Payments During Month" locked="1" count="1" user="Timothy R. Mayes, Ph.D." comment="Created by Timothy R. Mayes, Ph.D. on 6/5/2011">
      <inputCells r="B13" val="0.3" numFmtId="9"/>
    </scenario>
    <scenario name="40% Payments During Month" locked="1" count="1" user="Timothy R. Mayes, Ph.D." comment="Created by Timothy R. Mayes, Ph.D. on 6/5/2011">
      <inputCells r="B13" val="0.4" numFmtId="9"/>
    </scenario>
  </scenarios>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H11"/>
  <sheetViews>
    <sheetView showGridLines="0" workbookViewId="0">
      <selection activeCell="D6" sqref="D6"/>
    </sheetView>
  </sheetViews>
  <sheetFormatPr defaultRowHeight="15" outlineLevelRow="1" outlineLevelCol="1" x14ac:dyDescent="0.25"/>
  <cols>
    <col min="3" max="3" width="20.42578125" bestFit="1" customWidth="1"/>
    <col min="4" max="8" width="15.5703125" customWidth="1" outlineLevel="1"/>
  </cols>
  <sheetData>
    <row r="1" spans="2:8" ht="15.75" thickBot="1" x14ac:dyDescent="0.3"/>
    <row r="2" spans="2:8" ht="15.75" x14ac:dyDescent="0.25">
      <c r="B2" s="80" t="s">
        <v>75</v>
      </c>
      <c r="C2" s="80"/>
      <c r="D2" s="57"/>
      <c r="E2" s="57"/>
      <c r="F2" s="57"/>
      <c r="G2" s="57"/>
      <c r="H2" s="57"/>
    </row>
    <row r="3" spans="2:8" ht="31.5" customHeight="1" collapsed="1" x14ac:dyDescent="0.25">
      <c r="B3" s="79"/>
      <c r="C3" s="79"/>
      <c r="D3" s="84" t="s">
        <v>97</v>
      </c>
      <c r="E3" s="84" t="s">
        <v>98</v>
      </c>
      <c r="F3" s="84" t="s">
        <v>99</v>
      </c>
      <c r="G3" s="84" t="s">
        <v>100</v>
      </c>
      <c r="H3" s="84" t="s">
        <v>101</v>
      </c>
    </row>
    <row r="4" spans="2:8" ht="33.75" hidden="1" outlineLevel="1" x14ac:dyDescent="0.25">
      <c r="B4" s="81"/>
      <c r="C4" s="81"/>
      <c r="D4" s="78" t="s">
        <v>111</v>
      </c>
      <c r="E4" s="78" t="s">
        <v>111</v>
      </c>
      <c r="F4" s="78" t="s">
        <v>111</v>
      </c>
      <c r="G4" s="78" t="s">
        <v>111</v>
      </c>
      <c r="H4" s="78" t="s">
        <v>111</v>
      </c>
    </row>
    <row r="5" spans="2:8" x14ac:dyDescent="0.25">
      <c r="B5" s="82" t="s">
        <v>76</v>
      </c>
      <c r="C5" s="82"/>
      <c r="D5" s="56"/>
      <c r="E5" s="56"/>
      <c r="F5" s="56"/>
      <c r="G5" s="56"/>
      <c r="H5" s="56"/>
    </row>
    <row r="6" spans="2:8" outlineLevel="1" x14ac:dyDescent="0.25">
      <c r="B6" s="81"/>
      <c r="C6" s="81" t="s">
        <v>103</v>
      </c>
      <c r="D6" s="77">
        <v>0</v>
      </c>
      <c r="E6" s="77">
        <v>0.1</v>
      </c>
      <c r="F6" s="77">
        <v>0.2</v>
      </c>
      <c r="G6" s="77">
        <v>0.3</v>
      </c>
      <c r="H6" s="77">
        <v>0.4</v>
      </c>
    </row>
    <row r="7" spans="2:8" x14ac:dyDescent="0.25">
      <c r="B7" s="82" t="s">
        <v>78</v>
      </c>
      <c r="C7" s="82"/>
      <c r="D7" s="56"/>
      <c r="E7" s="56"/>
      <c r="F7" s="56"/>
      <c r="G7" s="56"/>
      <c r="H7" s="56"/>
    </row>
    <row r="8" spans="2:8" ht="15.75" outlineLevel="1" thickBot="1" x14ac:dyDescent="0.3">
      <c r="B8" s="83"/>
      <c r="C8" s="83" t="s">
        <v>96</v>
      </c>
      <c r="D8" s="55">
        <v>698.15769515625004</v>
      </c>
      <c r="E8" s="55">
        <v>613.75279307475</v>
      </c>
      <c r="F8" s="55">
        <v>529.34789099325099</v>
      </c>
      <c r="G8" s="55">
        <v>444.94298891174998</v>
      </c>
      <c r="H8" s="55">
        <v>360.53808683024999</v>
      </c>
    </row>
    <row r="9" spans="2:8" x14ac:dyDescent="0.25">
      <c r="B9" t="s">
        <v>79</v>
      </c>
    </row>
    <row r="10" spans="2:8" x14ac:dyDescent="0.25">
      <c r="B10" t="s">
        <v>80</v>
      </c>
    </row>
    <row r="11" spans="2:8" x14ac:dyDescent="0.25">
      <c r="B11" t="s">
        <v>81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36"/>
  <sheetViews>
    <sheetView showGridLines="0" zoomScaleNormal="100" workbookViewId="0">
      <pane xSplit="1" ySplit="4" topLeftCell="B5" activePane="bottomRight" state="frozen"/>
      <selection pane="topRight" activeCell="B1" sqref="B1"/>
      <selection pane="bottomLeft" activeCell="A5" sqref="A5"/>
      <selection pane="bottomRight" activeCell="C31" sqref="C31"/>
    </sheetView>
  </sheetViews>
  <sheetFormatPr defaultRowHeight="15" x14ac:dyDescent="0.25"/>
  <cols>
    <col min="1" max="1" width="24.42578125" bestFit="1" customWidth="1"/>
    <col min="2" max="2" width="10" bestFit="1" customWidth="1"/>
    <col min="3" max="10" width="11.7109375" customWidth="1"/>
  </cols>
  <sheetData>
    <row r="1" spans="1:20" x14ac:dyDescent="0.25">
      <c r="A1" s="1" t="s">
        <v>112</v>
      </c>
      <c r="B1" s="1"/>
      <c r="C1" s="1"/>
      <c r="D1" s="2"/>
      <c r="E1" s="2"/>
      <c r="F1" s="2"/>
      <c r="G1" s="2"/>
      <c r="H1" s="2"/>
      <c r="I1" s="2"/>
      <c r="J1" s="2"/>
    </row>
    <row r="2" spans="1:20" x14ac:dyDescent="0.25">
      <c r="A2" s="1" t="s">
        <v>54</v>
      </c>
      <c r="B2" s="1"/>
      <c r="C2" s="1"/>
      <c r="D2" s="2"/>
      <c r="E2" s="2"/>
      <c r="F2" s="2"/>
      <c r="G2" s="2"/>
      <c r="H2" s="2"/>
      <c r="I2" s="2"/>
      <c r="J2" s="2"/>
    </row>
    <row r="3" spans="1:20" ht="15.75" thickBot="1" x14ac:dyDescent="0.3">
      <c r="A3" s="1" t="str">
        <f>"For the Period "&amp;TEXT(E4,"mmmm")&amp;" "&amp;TEXT(YEAR(E4),"#")&amp;" to "&amp;TEXT(J4,"mmmm")&amp;" "&amp;TEXT(YEAR(E4),"#")</f>
        <v>For the Period January 2012 to June 2012</v>
      </c>
      <c r="B3" s="1"/>
      <c r="C3" s="1"/>
      <c r="D3" s="2"/>
      <c r="E3" s="2"/>
      <c r="F3" s="2"/>
      <c r="G3" s="2"/>
      <c r="H3" s="2"/>
      <c r="I3" s="2"/>
      <c r="J3" s="2"/>
    </row>
    <row r="4" spans="1:20" ht="15.75" thickBot="1" x14ac:dyDescent="0.3">
      <c r="A4" s="3"/>
      <c r="B4" s="3"/>
      <c r="C4" s="59">
        <v>40848</v>
      </c>
      <c r="D4" s="59">
        <f>DATE(YEAR(C4),MONTH(C4)+1,DAY(C4))</f>
        <v>40878</v>
      </c>
      <c r="E4" s="59">
        <f t="shared" ref="E4:J4" si="0">DATE(YEAR(D4),MONTH(D4)+1,DAY(D4))</f>
        <v>40909</v>
      </c>
      <c r="F4" s="59">
        <f t="shared" si="0"/>
        <v>40940</v>
      </c>
      <c r="G4" s="59">
        <f t="shared" si="0"/>
        <v>40969</v>
      </c>
      <c r="H4" s="59">
        <f t="shared" si="0"/>
        <v>41000</v>
      </c>
      <c r="I4" s="59">
        <f t="shared" si="0"/>
        <v>41030</v>
      </c>
      <c r="J4" s="59">
        <f t="shared" si="0"/>
        <v>41061</v>
      </c>
      <c r="O4" s="4" t="s">
        <v>9</v>
      </c>
      <c r="P4" s="4" t="s">
        <v>44</v>
      </c>
      <c r="Q4" s="4" t="s">
        <v>45</v>
      </c>
      <c r="R4" s="4" t="s">
        <v>0</v>
      </c>
      <c r="S4" s="4" t="s">
        <v>1</v>
      </c>
      <c r="T4" s="4" t="s">
        <v>2</v>
      </c>
    </row>
    <row r="5" spans="1:20" x14ac:dyDescent="0.25">
      <c r="A5" t="s">
        <v>10</v>
      </c>
      <c r="B5" s="60">
        <v>1</v>
      </c>
      <c r="C5" s="41">
        <v>48000</v>
      </c>
      <c r="D5" s="41">
        <v>45000</v>
      </c>
      <c r="E5" s="41">
        <f t="shared" ref="E5:J5" si="1">O5*$B$5</f>
        <v>25000</v>
      </c>
      <c r="F5" s="41">
        <f t="shared" si="1"/>
        <v>27000</v>
      </c>
      <c r="G5" s="41">
        <f t="shared" si="1"/>
        <v>30000</v>
      </c>
      <c r="H5" s="41">
        <f t="shared" si="1"/>
        <v>38000</v>
      </c>
      <c r="I5" s="41">
        <f t="shared" si="1"/>
        <v>40000</v>
      </c>
      <c r="J5" s="41">
        <f t="shared" si="1"/>
        <v>45000</v>
      </c>
      <c r="O5" s="41">
        <v>25000</v>
      </c>
      <c r="P5" s="41">
        <v>27000</v>
      </c>
      <c r="Q5" s="41">
        <v>30000</v>
      </c>
      <c r="R5" s="41">
        <v>38000</v>
      </c>
      <c r="S5" s="41">
        <v>40000</v>
      </c>
      <c r="T5" s="41">
        <v>45000</v>
      </c>
    </row>
    <row r="6" spans="1:20" x14ac:dyDescent="0.25">
      <c r="A6" s="7" t="s">
        <v>11</v>
      </c>
      <c r="B6" s="7"/>
      <c r="C6" s="7"/>
    </row>
    <row r="7" spans="1:20" x14ac:dyDescent="0.25">
      <c r="A7" s="8" t="s">
        <v>12</v>
      </c>
      <c r="B7" s="9">
        <v>0.6</v>
      </c>
      <c r="C7" s="10"/>
      <c r="E7" s="38">
        <f t="shared" ref="E7:J7" si="2">$B$7*E5</f>
        <v>15000</v>
      </c>
      <c r="F7" s="38">
        <f t="shared" si="2"/>
        <v>16200</v>
      </c>
      <c r="G7" s="38">
        <f t="shared" si="2"/>
        <v>18000</v>
      </c>
      <c r="H7" s="38">
        <f t="shared" si="2"/>
        <v>22800</v>
      </c>
      <c r="I7" s="38">
        <f t="shared" si="2"/>
        <v>24000</v>
      </c>
      <c r="J7" s="38">
        <f t="shared" si="2"/>
        <v>27000</v>
      </c>
    </row>
    <row r="8" spans="1:20" x14ac:dyDescent="0.25">
      <c r="A8" s="8" t="s">
        <v>13</v>
      </c>
      <c r="B8" s="9">
        <f>1-B7-B9</f>
        <v>0.39</v>
      </c>
      <c r="C8" s="10"/>
      <c r="E8" s="38">
        <f t="shared" ref="E8:J8" si="3">$B$8*D5</f>
        <v>17550</v>
      </c>
      <c r="F8" s="38">
        <f t="shared" si="3"/>
        <v>9750</v>
      </c>
      <c r="G8" s="38">
        <f t="shared" si="3"/>
        <v>10530</v>
      </c>
      <c r="H8" s="38">
        <f t="shared" si="3"/>
        <v>11700</v>
      </c>
      <c r="I8" s="38">
        <f t="shared" si="3"/>
        <v>14820</v>
      </c>
      <c r="J8" s="38">
        <f t="shared" si="3"/>
        <v>15600</v>
      </c>
    </row>
    <row r="9" spans="1:20" ht="15.75" thickBot="1" x14ac:dyDescent="0.3">
      <c r="A9" s="42" t="s">
        <v>55</v>
      </c>
      <c r="B9" s="43">
        <v>0.01</v>
      </c>
      <c r="C9" s="44"/>
      <c r="D9" s="25"/>
      <c r="E9" s="45"/>
      <c r="F9" s="45"/>
      <c r="G9" s="45"/>
      <c r="H9" s="45"/>
      <c r="I9" s="45"/>
      <c r="J9" s="45"/>
    </row>
    <row r="10" spans="1:20" x14ac:dyDescent="0.25">
      <c r="A10" s="17" t="s">
        <v>56</v>
      </c>
      <c r="B10" s="17"/>
      <c r="C10" s="17"/>
      <c r="D10" s="17"/>
      <c r="E10" s="19">
        <f t="shared" ref="E10:J10" si="4">SUM(E7:E9)</f>
        <v>32550</v>
      </c>
      <c r="F10" s="19">
        <f t="shared" si="4"/>
        <v>25950</v>
      </c>
      <c r="G10" s="19">
        <f t="shared" si="4"/>
        <v>28530</v>
      </c>
      <c r="H10" s="19">
        <f t="shared" si="4"/>
        <v>34500</v>
      </c>
      <c r="I10" s="19">
        <f t="shared" si="4"/>
        <v>38820</v>
      </c>
      <c r="J10" s="19">
        <f t="shared" si="4"/>
        <v>42600</v>
      </c>
    </row>
    <row r="11" spans="1:20" x14ac:dyDescent="0.25">
      <c r="A11" s="20" t="s">
        <v>57</v>
      </c>
    </row>
    <row r="12" spans="1:20" x14ac:dyDescent="0.25">
      <c r="A12" s="23" t="s">
        <v>58</v>
      </c>
      <c r="E12" s="38">
        <f>$B$32</f>
        <v>7000</v>
      </c>
      <c r="F12" s="38">
        <f t="shared" ref="F12:J12" si="5">$B$32</f>
        <v>7000</v>
      </c>
      <c r="G12" s="38">
        <f t="shared" si="5"/>
        <v>7000</v>
      </c>
      <c r="H12" s="38">
        <f t="shared" si="5"/>
        <v>7000</v>
      </c>
      <c r="I12" s="38">
        <f t="shared" si="5"/>
        <v>7000</v>
      </c>
      <c r="J12" s="38">
        <f t="shared" si="5"/>
        <v>7000</v>
      </c>
    </row>
    <row r="13" spans="1:20" x14ac:dyDescent="0.25">
      <c r="A13" s="23" t="s">
        <v>59</v>
      </c>
      <c r="B13" s="21">
        <v>0.25</v>
      </c>
      <c r="E13" s="38">
        <f t="shared" ref="E13:J13" si="6">$B$13*D5*(1-$B$9)</f>
        <v>11137.5</v>
      </c>
      <c r="F13" s="38">
        <f t="shared" si="6"/>
        <v>6187.5</v>
      </c>
      <c r="G13" s="38">
        <f t="shared" si="6"/>
        <v>6682.5</v>
      </c>
      <c r="H13" s="38">
        <f t="shared" si="6"/>
        <v>7425</v>
      </c>
      <c r="I13" s="38">
        <f t="shared" si="6"/>
        <v>9405</v>
      </c>
      <c r="J13" s="38">
        <f t="shared" si="6"/>
        <v>9900</v>
      </c>
    </row>
    <row r="14" spans="1:20" x14ac:dyDescent="0.25">
      <c r="A14" s="23" t="s">
        <v>60</v>
      </c>
      <c r="B14" s="21">
        <v>0.2</v>
      </c>
      <c r="E14" s="38">
        <f t="shared" ref="E14:J14" si="7">MAX($B$29,$B$14*D5*(1-$B$9))*2</f>
        <v>17820</v>
      </c>
      <c r="F14" s="38">
        <f t="shared" si="7"/>
        <v>10000</v>
      </c>
      <c r="G14" s="38">
        <f t="shared" si="7"/>
        <v>10692</v>
      </c>
      <c r="H14" s="38">
        <f t="shared" si="7"/>
        <v>11880</v>
      </c>
      <c r="I14" s="38">
        <f t="shared" si="7"/>
        <v>15048</v>
      </c>
      <c r="J14" s="38">
        <f t="shared" si="7"/>
        <v>15840</v>
      </c>
    </row>
    <row r="15" spans="1:20" x14ac:dyDescent="0.25">
      <c r="A15" s="23" t="s">
        <v>61</v>
      </c>
      <c r="E15" s="38">
        <f>$B33</f>
        <v>3500</v>
      </c>
      <c r="F15" s="38">
        <f t="shared" ref="F15:J15" si="8">$B33</f>
        <v>3500</v>
      </c>
      <c r="G15" s="38">
        <f t="shared" si="8"/>
        <v>3500</v>
      </c>
      <c r="H15" s="38">
        <f t="shared" si="8"/>
        <v>3500</v>
      </c>
      <c r="I15" s="38">
        <f t="shared" si="8"/>
        <v>3500</v>
      </c>
      <c r="J15" s="38">
        <f t="shared" si="8"/>
        <v>3500</v>
      </c>
    </row>
    <row r="16" spans="1:20" x14ac:dyDescent="0.25">
      <c r="A16" s="23" t="s">
        <v>62</v>
      </c>
      <c r="E16" s="38">
        <f>$B34</f>
        <v>800</v>
      </c>
      <c r="F16" s="38">
        <f t="shared" ref="F16:J16" si="9">$B34</f>
        <v>800</v>
      </c>
      <c r="G16" s="38">
        <f t="shared" si="9"/>
        <v>800</v>
      </c>
      <c r="H16" s="38">
        <f t="shared" si="9"/>
        <v>800</v>
      </c>
      <c r="I16" s="38">
        <f t="shared" si="9"/>
        <v>800</v>
      </c>
      <c r="J16" s="38">
        <f t="shared" si="9"/>
        <v>800</v>
      </c>
    </row>
    <row r="17" spans="1:10" x14ac:dyDescent="0.25">
      <c r="A17" s="23" t="s">
        <v>63</v>
      </c>
      <c r="E17" s="39">
        <f t="shared" ref="E17:J17" si="10">IF(OR(MONTH(E4)=5,MONTH(E4)=6),$B$36,$B$35)</f>
        <v>250</v>
      </c>
      <c r="F17" s="39">
        <f t="shared" si="10"/>
        <v>250</v>
      </c>
      <c r="G17" s="39">
        <f t="shared" si="10"/>
        <v>250</v>
      </c>
      <c r="H17" s="39">
        <f t="shared" si="10"/>
        <v>250</v>
      </c>
      <c r="I17" s="39">
        <f t="shared" si="10"/>
        <v>150</v>
      </c>
      <c r="J17" s="39">
        <f t="shared" si="10"/>
        <v>150</v>
      </c>
    </row>
    <row r="18" spans="1:10" ht="15.75" thickBot="1" x14ac:dyDescent="0.3">
      <c r="A18" s="46" t="s">
        <v>64</v>
      </c>
      <c r="B18" s="25"/>
      <c r="C18" s="25"/>
      <c r="D18" s="25"/>
      <c r="E18" s="47">
        <f t="shared" ref="E18:J18" si="11">SUM(E12:E17)</f>
        <v>40507.5</v>
      </c>
      <c r="F18" s="47">
        <f t="shared" si="11"/>
        <v>27737.5</v>
      </c>
      <c r="G18" s="47">
        <f t="shared" si="11"/>
        <v>28924.5</v>
      </c>
      <c r="H18" s="47">
        <f t="shared" si="11"/>
        <v>30855</v>
      </c>
      <c r="I18" s="47">
        <f t="shared" si="11"/>
        <v>35903</v>
      </c>
      <c r="J18" s="47">
        <f t="shared" si="11"/>
        <v>37190</v>
      </c>
    </row>
    <row r="19" spans="1:10" x14ac:dyDescent="0.25">
      <c r="A19" s="48" t="s">
        <v>32</v>
      </c>
      <c r="D19" s="38"/>
      <c r="E19" s="38">
        <f t="shared" ref="E19:J19" si="12">D24</f>
        <v>12000</v>
      </c>
      <c r="F19" s="38">
        <f t="shared" si="12"/>
        <v>10000</v>
      </c>
      <c r="G19" s="38">
        <f t="shared" si="12"/>
        <v>10000</v>
      </c>
      <c r="H19" s="38">
        <f t="shared" si="12"/>
        <v>10000</v>
      </c>
      <c r="I19" s="38">
        <f t="shared" si="12"/>
        <v>13645</v>
      </c>
      <c r="J19" s="38">
        <f t="shared" si="12"/>
        <v>16562</v>
      </c>
    </row>
    <row r="20" spans="1:10" x14ac:dyDescent="0.25">
      <c r="A20" s="23" t="s">
        <v>47</v>
      </c>
      <c r="D20" s="38"/>
      <c r="E20" s="38">
        <f t="shared" ref="E20:J20" si="13">E10</f>
        <v>32550</v>
      </c>
      <c r="F20" s="38">
        <f t="shared" si="13"/>
        <v>25950</v>
      </c>
      <c r="G20" s="38">
        <f t="shared" si="13"/>
        <v>28530</v>
      </c>
      <c r="H20" s="38">
        <f t="shared" si="13"/>
        <v>34500</v>
      </c>
      <c r="I20" s="38">
        <f t="shared" si="13"/>
        <v>38820</v>
      </c>
      <c r="J20" s="38">
        <f t="shared" si="13"/>
        <v>42600</v>
      </c>
    </row>
    <row r="21" spans="1:10" x14ac:dyDescent="0.25">
      <c r="A21" s="23" t="s">
        <v>65</v>
      </c>
      <c r="D21" s="38"/>
      <c r="E21" s="39">
        <f t="shared" ref="E21:J21" si="14">E18</f>
        <v>40507.5</v>
      </c>
      <c r="F21" s="39">
        <f t="shared" si="14"/>
        <v>27737.5</v>
      </c>
      <c r="G21" s="39">
        <f t="shared" si="14"/>
        <v>28924.5</v>
      </c>
      <c r="H21" s="39">
        <f t="shared" si="14"/>
        <v>30855</v>
      </c>
      <c r="I21" s="39">
        <f t="shared" si="14"/>
        <v>35903</v>
      </c>
      <c r="J21" s="39">
        <f t="shared" si="14"/>
        <v>37190</v>
      </c>
    </row>
    <row r="22" spans="1:10" x14ac:dyDescent="0.25">
      <c r="A22" s="20" t="s">
        <v>35</v>
      </c>
      <c r="D22" s="38"/>
      <c r="E22" s="38">
        <f t="shared" ref="E22:J22" si="15">E19+E20-E21</f>
        <v>4042.5</v>
      </c>
      <c r="F22" s="38">
        <f t="shared" si="15"/>
        <v>8212.5</v>
      </c>
      <c r="G22" s="38">
        <f t="shared" si="15"/>
        <v>9605.5</v>
      </c>
      <c r="H22" s="38">
        <f t="shared" si="15"/>
        <v>13645</v>
      </c>
      <c r="I22" s="38">
        <f t="shared" si="15"/>
        <v>16562</v>
      </c>
      <c r="J22" s="38">
        <f t="shared" si="15"/>
        <v>21972</v>
      </c>
    </row>
    <row r="23" spans="1:10" x14ac:dyDescent="0.25">
      <c r="A23" s="29" t="s">
        <v>66</v>
      </c>
      <c r="D23" s="39"/>
      <c r="E23" s="39">
        <f t="shared" ref="E23:J23" si="16">IF(E22&lt;$B$28,$B$28-E22,0)</f>
        <v>5957.5</v>
      </c>
      <c r="F23" s="39">
        <f t="shared" si="16"/>
        <v>1787.5</v>
      </c>
      <c r="G23" s="39">
        <f t="shared" si="16"/>
        <v>394.5</v>
      </c>
      <c r="H23" s="39">
        <f t="shared" si="16"/>
        <v>0</v>
      </c>
      <c r="I23" s="39">
        <f t="shared" si="16"/>
        <v>0</v>
      </c>
      <c r="J23" s="39">
        <f t="shared" si="16"/>
        <v>0</v>
      </c>
    </row>
    <row r="24" spans="1:10" x14ac:dyDescent="0.25">
      <c r="A24" s="49" t="s">
        <v>37</v>
      </c>
      <c r="B24" s="17"/>
      <c r="C24" s="17"/>
      <c r="D24" s="18">
        <v>12000</v>
      </c>
      <c r="E24" s="18">
        <f t="shared" ref="E24:J24" si="17">E22+E23</f>
        <v>10000</v>
      </c>
      <c r="F24" s="18">
        <f t="shared" si="17"/>
        <v>10000</v>
      </c>
      <c r="G24" s="18">
        <f t="shared" si="17"/>
        <v>10000</v>
      </c>
      <c r="H24" s="18">
        <f t="shared" si="17"/>
        <v>13645</v>
      </c>
      <c r="I24" s="18">
        <f t="shared" si="17"/>
        <v>16562</v>
      </c>
      <c r="J24" s="18">
        <f t="shared" si="17"/>
        <v>21972</v>
      </c>
    </row>
    <row r="25" spans="1:10" x14ac:dyDescent="0.25">
      <c r="A25" s="50"/>
    </row>
    <row r="26" spans="1:10" x14ac:dyDescent="0.25">
      <c r="A26" s="50" t="s">
        <v>38</v>
      </c>
      <c r="E26" s="30">
        <f t="shared" ref="E26:J26" si="18">D26+E23</f>
        <v>5957.5</v>
      </c>
      <c r="F26" s="30">
        <f t="shared" si="18"/>
        <v>7745</v>
      </c>
      <c r="G26" s="30">
        <f t="shared" si="18"/>
        <v>8139.5</v>
      </c>
      <c r="H26" s="30">
        <f t="shared" si="18"/>
        <v>8139.5</v>
      </c>
      <c r="I26" s="30">
        <f t="shared" si="18"/>
        <v>8139.5</v>
      </c>
      <c r="J26" s="30">
        <f t="shared" si="18"/>
        <v>8139.5</v>
      </c>
    </row>
    <row r="27" spans="1:10" x14ac:dyDescent="0.25">
      <c r="A27" s="51" t="s">
        <v>67</v>
      </c>
    </row>
    <row r="28" spans="1:10" x14ac:dyDescent="0.25">
      <c r="A28" s="50" t="s">
        <v>39</v>
      </c>
      <c r="B28" s="38">
        <v>10000</v>
      </c>
    </row>
    <row r="29" spans="1:10" x14ac:dyDescent="0.25">
      <c r="A29" t="s">
        <v>68</v>
      </c>
      <c r="B29" s="38">
        <v>5000</v>
      </c>
    </row>
    <row r="30" spans="1:10" x14ac:dyDescent="0.25">
      <c r="A30" t="s">
        <v>41</v>
      </c>
      <c r="B30" s="30">
        <f>ROUNDUP(MAX(E26:J26),-3)</f>
        <v>9000</v>
      </c>
      <c r="C30" s="30"/>
    </row>
    <row r="32" spans="1:10" x14ac:dyDescent="0.25">
      <c r="A32" s="71" t="s">
        <v>104</v>
      </c>
      <c r="B32" s="38">
        <v>7000</v>
      </c>
    </row>
    <row r="33" spans="1:2" x14ac:dyDescent="0.25">
      <c r="A33" s="71" t="s">
        <v>61</v>
      </c>
      <c r="B33" s="38">
        <v>3500</v>
      </c>
    </row>
    <row r="34" spans="1:2" x14ac:dyDescent="0.25">
      <c r="A34" s="71" t="s">
        <v>105</v>
      </c>
      <c r="B34" s="38">
        <v>800</v>
      </c>
    </row>
    <row r="35" spans="1:2" x14ac:dyDescent="0.25">
      <c r="A35" t="s">
        <v>63</v>
      </c>
      <c r="B35" s="38">
        <v>250</v>
      </c>
    </row>
    <row r="36" spans="1:2" x14ac:dyDescent="0.25">
      <c r="A36" t="s">
        <v>84</v>
      </c>
      <c r="B36" s="38">
        <v>150</v>
      </c>
    </row>
  </sheetData>
  <scenarios current="1" show="1" sqref="B30">
    <scenario name="Best Case" locked="1" count="1" user="Timothy R. Mayes, Ph.D." comment="Created by Timothy R. Mayes, Ph.D on 10/28/2008">
      <inputCells r="B5" val="1.1" numFmtId="9"/>
    </scenario>
    <scenario name="Base Case" locked="1" count="1" user="Timothy R. Mayes, Ph.D." comment="Created by Timothy R. Mayes, Ph.D. on 10/28/2008">
      <inputCells r="B5" val="1" numFmtId="9"/>
    </scenario>
    <scenario name="Worst Case" locked="1" count="1" user="Timothy R. Mayes, Ph.D." comment="Created by Timothy R. Mayes, Ph.D. on 10/28/2008">
      <inputCells r="B5" val="0.9" numFmtId="9"/>
    </scenario>
  </scenarios>
  <phoneticPr fontId="7"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11"/>
  <sheetViews>
    <sheetView showGridLines="0" workbookViewId="0"/>
  </sheetViews>
  <sheetFormatPr defaultRowHeight="15" outlineLevelRow="1" outlineLevelCol="1" x14ac:dyDescent="0.25"/>
  <cols>
    <col min="3" max="3" width="28.140625" bestFit="1" customWidth="1"/>
    <col min="4" max="7" width="12.7109375" bestFit="1" customWidth="1" outlineLevel="1"/>
  </cols>
  <sheetData>
    <row r="1" spans="2:7" ht="15.75" thickBot="1" x14ac:dyDescent="0.3"/>
    <row r="2" spans="2:7" ht="15.75" x14ac:dyDescent="0.25">
      <c r="B2" s="73" t="s">
        <v>75</v>
      </c>
      <c r="C2" s="73"/>
      <c r="D2" s="57"/>
      <c r="E2" s="57"/>
      <c r="F2" s="57"/>
      <c r="G2" s="57"/>
    </row>
    <row r="3" spans="2:7" ht="15.75" collapsed="1" x14ac:dyDescent="0.25">
      <c r="B3" s="72"/>
      <c r="C3" s="72"/>
      <c r="D3" s="58" t="s">
        <v>77</v>
      </c>
      <c r="E3" s="58" t="s">
        <v>72</v>
      </c>
      <c r="F3" s="58" t="s">
        <v>73</v>
      </c>
      <c r="G3" s="58" t="s">
        <v>74</v>
      </c>
    </row>
    <row r="4" spans="2:7" ht="45" hidden="1" outlineLevel="1" x14ac:dyDescent="0.25">
      <c r="B4" s="74"/>
      <c r="C4" s="74"/>
      <c r="D4" s="53"/>
      <c r="E4" s="78" t="s">
        <v>106</v>
      </c>
      <c r="F4" s="78" t="s">
        <v>107</v>
      </c>
      <c r="G4" s="78" t="s">
        <v>107</v>
      </c>
    </row>
    <row r="5" spans="2:7" x14ac:dyDescent="0.25">
      <c r="B5" s="75" t="s">
        <v>76</v>
      </c>
      <c r="C5" s="75"/>
      <c r="D5" s="56"/>
      <c r="E5" s="56"/>
      <c r="F5" s="56"/>
      <c r="G5" s="56"/>
    </row>
    <row r="6" spans="2:7" outlineLevel="1" x14ac:dyDescent="0.25">
      <c r="B6" s="74"/>
      <c r="C6" s="74" t="s">
        <v>70</v>
      </c>
      <c r="D6" s="54">
        <v>1</v>
      </c>
      <c r="E6" s="77">
        <v>1.1000000000000001</v>
      </c>
      <c r="F6" s="77">
        <v>1</v>
      </c>
      <c r="G6" s="77">
        <v>0.9</v>
      </c>
    </row>
    <row r="7" spans="2:7" x14ac:dyDescent="0.25">
      <c r="B7" s="75" t="s">
        <v>78</v>
      </c>
      <c r="C7" s="75"/>
      <c r="D7" s="56"/>
      <c r="E7" s="56"/>
      <c r="F7" s="56"/>
      <c r="G7" s="56"/>
    </row>
    <row r="8" spans="2:7" ht="15.75" outlineLevel="1" thickBot="1" x14ac:dyDescent="0.3">
      <c r="B8" s="76"/>
      <c r="C8" s="76" t="s">
        <v>71</v>
      </c>
      <c r="D8" s="55">
        <v>13000</v>
      </c>
      <c r="E8" s="55">
        <v>10000</v>
      </c>
      <c r="F8" s="55">
        <v>13000</v>
      </c>
      <c r="G8" s="55">
        <v>18000</v>
      </c>
    </row>
    <row r="9" spans="2:7" x14ac:dyDescent="0.25">
      <c r="B9" t="s">
        <v>79</v>
      </c>
    </row>
    <row r="10" spans="2:7" x14ac:dyDescent="0.25">
      <c r="B10" t="s">
        <v>80</v>
      </c>
    </row>
    <row r="11" spans="2:7" x14ac:dyDescent="0.25">
      <c r="B11"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V45"/>
  <sheetViews>
    <sheetView showGridLines="0" zoomScale="127" zoomScaleNormal="127" workbookViewId="0">
      <pane xSplit="1" ySplit="4" topLeftCell="B5" activePane="bottomRight" state="frozen"/>
      <selection pane="topRight" activeCell="B1" sqref="B1"/>
      <selection pane="bottomLeft" activeCell="A5" sqref="A5"/>
      <selection pane="bottomRight" activeCell="O5" sqref="O5"/>
    </sheetView>
  </sheetViews>
  <sheetFormatPr defaultRowHeight="15" x14ac:dyDescent="0.25"/>
  <cols>
    <col min="1" max="1" width="27.28515625" bestFit="1" customWidth="1"/>
    <col min="3" max="12" width="11.28515625" customWidth="1"/>
    <col min="15" max="22" width="11.7109375" customWidth="1"/>
  </cols>
  <sheetData>
    <row r="1" spans="1:22" x14ac:dyDescent="0.25">
      <c r="A1" s="1" t="s">
        <v>69</v>
      </c>
      <c r="B1" s="1"/>
      <c r="C1" s="1"/>
      <c r="D1" s="2"/>
      <c r="E1" s="2"/>
      <c r="F1" s="2"/>
      <c r="G1" s="2"/>
      <c r="H1" s="2"/>
      <c r="I1" s="2"/>
      <c r="J1" s="2"/>
      <c r="K1" s="2"/>
      <c r="L1" s="2"/>
    </row>
    <row r="2" spans="1:22" x14ac:dyDescent="0.25">
      <c r="A2" s="1" t="s">
        <v>54</v>
      </c>
      <c r="B2" s="1"/>
      <c r="C2" s="1"/>
      <c r="D2" s="2"/>
      <c r="E2" s="2"/>
      <c r="F2" s="2"/>
      <c r="G2" s="2"/>
      <c r="H2" s="2"/>
      <c r="I2" s="2"/>
      <c r="J2" s="2"/>
      <c r="K2" s="2"/>
      <c r="L2" s="2"/>
    </row>
    <row r="3" spans="1:22" ht="15.75" thickBot="1" x14ac:dyDescent="0.3">
      <c r="A3" s="1" t="str">
        <f>"For the Period "&amp;TEXT(E4,"mmmm")&amp;" "&amp;TEXT(YEAR(E4),"#")&amp;" to "&amp;TEXT(J4,"mmmm")&amp;" "&amp;TEXT(YEAR(E4),"#")</f>
        <v>For the Period June 2010 to November 2010</v>
      </c>
      <c r="B3" s="1"/>
      <c r="C3" s="1"/>
      <c r="D3" s="2"/>
      <c r="E3" s="2"/>
      <c r="F3" s="2"/>
      <c r="G3" s="2"/>
      <c r="H3" s="2"/>
      <c r="I3" s="2"/>
      <c r="J3" s="2"/>
      <c r="K3" s="2"/>
      <c r="L3" s="2"/>
    </row>
    <row r="4" spans="1:22" ht="15.75" thickBot="1" x14ac:dyDescent="0.3">
      <c r="A4" s="3"/>
      <c r="B4" s="3"/>
      <c r="C4" s="59">
        <v>40269</v>
      </c>
      <c r="D4" s="59">
        <f>DATE(YEAR(C4),MONTH(C4)+1,DAY(C4))</f>
        <v>40299</v>
      </c>
      <c r="E4" s="59">
        <f t="shared" ref="E4:L4" si="0">DATE(YEAR(D4),MONTH(D4)+1,DAY(D4))</f>
        <v>40330</v>
      </c>
      <c r="F4" s="59">
        <f t="shared" si="0"/>
        <v>40360</v>
      </c>
      <c r="G4" s="59">
        <f t="shared" si="0"/>
        <v>40391</v>
      </c>
      <c r="H4" s="59">
        <f t="shared" si="0"/>
        <v>40422</v>
      </c>
      <c r="I4" s="59">
        <f t="shared" si="0"/>
        <v>40452</v>
      </c>
      <c r="J4" s="59">
        <f t="shared" si="0"/>
        <v>40483</v>
      </c>
      <c r="K4" s="59">
        <f t="shared" si="0"/>
        <v>40513</v>
      </c>
      <c r="L4" s="59">
        <f t="shared" si="0"/>
        <v>40544</v>
      </c>
      <c r="O4" s="59">
        <f>E4</f>
        <v>40330</v>
      </c>
      <c r="P4" s="59">
        <f t="shared" ref="P4:U4" si="1">F4</f>
        <v>40360</v>
      </c>
      <c r="Q4" s="59">
        <f t="shared" si="1"/>
        <v>40391</v>
      </c>
      <c r="R4" s="59">
        <f t="shared" si="1"/>
        <v>40422</v>
      </c>
      <c r="S4" s="59">
        <f t="shared" si="1"/>
        <v>40452</v>
      </c>
      <c r="T4" s="59">
        <f t="shared" si="1"/>
        <v>40483</v>
      </c>
      <c r="U4" s="59">
        <f t="shared" si="1"/>
        <v>40513</v>
      </c>
      <c r="V4" s="4" t="s">
        <v>9</v>
      </c>
    </row>
    <row r="5" spans="1:22" x14ac:dyDescent="0.25">
      <c r="A5" t="s">
        <v>10</v>
      </c>
      <c r="B5" s="5">
        <v>1</v>
      </c>
      <c r="C5" s="41">
        <v>51000</v>
      </c>
      <c r="D5" s="41">
        <v>57000</v>
      </c>
      <c r="E5" s="41">
        <f>$B$5*O5</f>
        <v>62000</v>
      </c>
      <c r="F5" s="41">
        <f t="shared" ref="F5:L5" si="2">$B$5*P5</f>
        <v>73000</v>
      </c>
      <c r="G5" s="41">
        <f t="shared" si="2"/>
        <v>76000</v>
      </c>
      <c r="H5" s="41">
        <f t="shared" si="2"/>
        <v>70000</v>
      </c>
      <c r="I5" s="41">
        <f t="shared" si="2"/>
        <v>59000</v>
      </c>
      <c r="J5" s="41">
        <f t="shared" si="2"/>
        <v>47000</v>
      </c>
      <c r="K5" s="41">
        <f t="shared" si="2"/>
        <v>41000</v>
      </c>
      <c r="L5" s="41">
        <f t="shared" si="2"/>
        <v>36000</v>
      </c>
      <c r="O5" s="41">
        <v>62000</v>
      </c>
      <c r="P5" s="41">
        <v>73000</v>
      </c>
      <c r="Q5" s="41">
        <v>76000</v>
      </c>
      <c r="R5" s="41">
        <v>70000</v>
      </c>
      <c r="S5" s="41">
        <v>59000</v>
      </c>
      <c r="T5" s="41">
        <v>47000</v>
      </c>
      <c r="U5" s="41">
        <v>41000</v>
      </c>
      <c r="V5" s="41">
        <v>36000</v>
      </c>
    </row>
    <row r="6" spans="1:22" x14ac:dyDescent="0.25">
      <c r="A6" s="7" t="s">
        <v>11</v>
      </c>
      <c r="B6" s="7"/>
      <c r="C6" s="7"/>
    </row>
    <row r="7" spans="1:22" x14ac:dyDescent="0.25">
      <c r="A7" s="8" t="s">
        <v>12</v>
      </c>
      <c r="B7" s="9">
        <v>0.4</v>
      </c>
      <c r="C7" s="10"/>
      <c r="E7" s="38">
        <f t="shared" ref="E7:J7" si="3">$B$7*E5</f>
        <v>24800</v>
      </c>
      <c r="F7" s="38">
        <f t="shared" si="3"/>
        <v>29200</v>
      </c>
      <c r="G7" s="38">
        <f t="shared" si="3"/>
        <v>30400</v>
      </c>
      <c r="H7" s="38">
        <f t="shared" si="3"/>
        <v>28000</v>
      </c>
      <c r="I7" s="38">
        <f t="shared" si="3"/>
        <v>23600</v>
      </c>
      <c r="J7" s="38">
        <f t="shared" si="3"/>
        <v>18800</v>
      </c>
      <c r="K7" s="38">
        <f>$B$7*K5</f>
        <v>16400</v>
      </c>
    </row>
    <row r="8" spans="1:22" x14ac:dyDescent="0.25">
      <c r="A8" s="8" t="s">
        <v>13</v>
      </c>
      <c r="B8" s="9">
        <v>0.12</v>
      </c>
      <c r="C8" s="10"/>
      <c r="E8" s="38">
        <f t="shared" ref="E8:J8" si="4">$B$8*D5</f>
        <v>6840</v>
      </c>
      <c r="F8" s="38">
        <f t="shared" si="4"/>
        <v>7440</v>
      </c>
      <c r="G8" s="38">
        <f t="shared" si="4"/>
        <v>8760</v>
      </c>
      <c r="H8" s="38">
        <f t="shared" si="4"/>
        <v>9120</v>
      </c>
      <c r="I8" s="38">
        <f t="shared" si="4"/>
        <v>8400</v>
      </c>
      <c r="J8" s="38">
        <f t="shared" si="4"/>
        <v>7080</v>
      </c>
      <c r="K8" s="38">
        <f>$B$8*J5</f>
        <v>5640</v>
      </c>
    </row>
    <row r="9" spans="1:22" x14ac:dyDescent="0.25">
      <c r="A9" s="12" t="s">
        <v>14</v>
      </c>
      <c r="B9" s="13">
        <v>0.48</v>
      </c>
      <c r="C9" s="14"/>
      <c r="D9" s="15"/>
      <c r="E9" s="39">
        <f>$B$9*C5</f>
        <v>24480</v>
      </c>
      <c r="F9" s="39">
        <f t="shared" ref="F9:K9" si="5">$B$9*D5</f>
        <v>27360</v>
      </c>
      <c r="G9" s="39">
        <f t="shared" si="5"/>
        <v>29760</v>
      </c>
      <c r="H9" s="39">
        <f t="shared" si="5"/>
        <v>35040</v>
      </c>
      <c r="I9" s="39">
        <f t="shared" si="5"/>
        <v>36480</v>
      </c>
      <c r="J9" s="39">
        <f t="shared" si="5"/>
        <v>33600</v>
      </c>
      <c r="K9" s="39">
        <f t="shared" si="5"/>
        <v>28320</v>
      </c>
    </row>
    <row r="10" spans="1:22" x14ac:dyDescent="0.25">
      <c r="A10" s="17" t="s">
        <v>15</v>
      </c>
      <c r="B10" s="17"/>
      <c r="C10" s="17"/>
      <c r="D10" s="17"/>
      <c r="E10" s="18">
        <f t="shared" ref="E10:K10" si="6">SUM(E7:E9)</f>
        <v>56120</v>
      </c>
      <c r="F10" s="18">
        <f t="shared" si="6"/>
        <v>64000</v>
      </c>
      <c r="G10" s="18">
        <f t="shared" si="6"/>
        <v>68920</v>
      </c>
      <c r="H10" s="18">
        <f t="shared" si="6"/>
        <v>72160</v>
      </c>
      <c r="I10" s="18">
        <f t="shared" si="6"/>
        <v>68480</v>
      </c>
      <c r="J10" s="18">
        <f t="shared" si="6"/>
        <v>59480</v>
      </c>
      <c r="K10" s="18">
        <f t="shared" si="6"/>
        <v>50360</v>
      </c>
    </row>
    <row r="11" spans="1:22" x14ac:dyDescent="0.25">
      <c r="A11" s="17"/>
      <c r="B11" s="17"/>
      <c r="C11" s="17"/>
      <c r="D11" s="17"/>
      <c r="E11" s="19"/>
      <c r="F11" s="19"/>
      <c r="G11" s="19"/>
      <c r="H11" s="19"/>
      <c r="I11" s="19"/>
      <c r="J11" s="19"/>
      <c r="K11" s="19"/>
    </row>
    <row r="12" spans="1:22" x14ac:dyDescent="0.25">
      <c r="A12" s="20" t="s">
        <v>16</v>
      </c>
      <c r="B12" s="21">
        <v>0.45</v>
      </c>
      <c r="C12" s="22"/>
      <c r="D12" s="22">
        <f>$B$12*E5</f>
        <v>27900</v>
      </c>
      <c r="E12" s="22">
        <f t="shared" ref="E12:J12" si="7">$B$12*F5</f>
        <v>32850</v>
      </c>
      <c r="F12" s="22">
        <f t="shared" si="7"/>
        <v>34200</v>
      </c>
      <c r="G12" s="22">
        <f t="shared" si="7"/>
        <v>31500</v>
      </c>
      <c r="H12" s="22">
        <f t="shared" si="7"/>
        <v>26550</v>
      </c>
      <c r="I12" s="22">
        <f t="shared" si="7"/>
        <v>21150</v>
      </c>
      <c r="J12" s="22">
        <f t="shared" si="7"/>
        <v>18450</v>
      </c>
      <c r="K12" s="22">
        <f>$B$12*L5</f>
        <v>16200</v>
      </c>
    </row>
    <row r="13" spans="1:22" x14ac:dyDescent="0.25">
      <c r="A13" s="20" t="s">
        <v>17</v>
      </c>
    </row>
    <row r="14" spans="1:22" x14ac:dyDescent="0.25">
      <c r="A14" s="23" t="s">
        <v>12</v>
      </c>
      <c r="B14" s="21">
        <v>0.3</v>
      </c>
      <c r="E14" s="38">
        <f>$B$14*E12</f>
        <v>9855</v>
      </c>
      <c r="F14" s="38">
        <f t="shared" ref="F14:K14" si="8">$B$14*F12</f>
        <v>10260</v>
      </c>
      <c r="G14" s="38">
        <f t="shared" si="8"/>
        <v>9450</v>
      </c>
      <c r="H14" s="38">
        <f t="shared" si="8"/>
        <v>7965</v>
      </c>
      <c r="I14" s="38">
        <f t="shared" si="8"/>
        <v>6345</v>
      </c>
      <c r="J14" s="38">
        <f t="shared" si="8"/>
        <v>5535</v>
      </c>
      <c r="K14" s="38">
        <f t="shared" si="8"/>
        <v>4860</v>
      </c>
    </row>
    <row r="15" spans="1:22" x14ac:dyDescent="0.25">
      <c r="A15" s="23" t="s">
        <v>13</v>
      </c>
      <c r="B15" s="21">
        <v>0.7</v>
      </c>
      <c r="E15" s="39">
        <f>$B$15*D12</f>
        <v>19530</v>
      </c>
      <c r="F15" s="39">
        <f t="shared" ref="F15:K15" si="9">$B$15*E12</f>
        <v>22995</v>
      </c>
      <c r="G15" s="39">
        <f t="shared" si="9"/>
        <v>23940</v>
      </c>
      <c r="H15" s="39">
        <f t="shared" si="9"/>
        <v>22050</v>
      </c>
      <c r="I15" s="39">
        <f t="shared" si="9"/>
        <v>18585</v>
      </c>
      <c r="J15" s="39">
        <f t="shared" si="9"/>
        <v>14804.999999999998</v>
      </c>
      <c r="K15" s="39">
        <f t="shared" si="9"/>
        <v>12915</v>
      </c>
    </row>
    <row r="16" spans="1:22" ht="15.75" thickBot="1" x14ac:dyDescent="0.3">
      <c r="A16" s="24" t="s">
        <v>18</v>
      </c>
      <c r="B16" s="25"/>
      <c r="C16" s="25"/>
      <c r="D16" s="25"/>
      <c r="E16" s="26">
        <f>SUM(E14:E15)</f>
        <v>29385</v>
      </c>
      <c r="F16" s="26">
        <f t="shared" ref="F16:K16" si="10">SUM(F14:F15)</f>
        <v>33255</v>
      </c>
      <c r="G16" s="26">
        <f t="shared" si="10"/>
        <v>33390</v>
      </c>
      <c r="H16" s="26">
        <f t="shared" si="10"/>
        <v>30015</v>
      </c>
      <c r="I16" s="26">
        <f t="shared" si="10"/>
        <v>24930</v>
      </c>
      <c r="J16" s="26">
        <f t="shared" si="10"/>
        <v>20340</v>
      </c>
      <c r="K16" s="26">
        <f t="shared" si="10"/>
        <v>17775</v>
      </c>
      <c r="L16" s="25"/>
    </row>
    <row r="17" spans="1:12" x14ac:dyDescent="0.25">
      <c r="A17" s="27"/>
      <c r="B17" s="15"/>
      <c r="C17" s="15"/>
      <c r="D17" s="15"/>
      <c r="E17" s="28"/>
      <c r="F17" s="28"/>
      <c r="G17" s="28"/>
      <c r="H17" s="28"/>
      <c r="I17" s="28"/>
      <c r="J17" s="28"/>
      <c r="K17" s="28"/>
      <c r="L17" s="15"/>
    </row>
    <row r="18" spans="1:12" x14ac:dyDescent="0.25">
      <c r="A18" s="17" t="s">
        <v>83</v>
      </c>
      <c r="B18" s="17"/>
      <c r="C18" s="17"/>
      <c r="D18" s="17"/>
    </row>
    <row r="19" spans="1:12" x14ac:dyDescent="0.25">
      <c r="A19" s="8" t="s">
        <v>82</v>
      </c>
      <c r="B19" s="17"/>
      <c r="C19" s="17"/>
      <c r="D19" s="17"/>
      <c r="E19" s="61">
        <f t="shared" ref="E19:K19" si="11">E10</f>
        <v>56120</v>
      </c>
      <c r="F19" s="61">
        <f t="shared" si="11"/>
        <v>64000</v>
      </c>
      <c r="G19" s="61">
        <f t="shared" si="11"/>
        <v>68920</v>
      </c>
      <c r="H19" s="61">
        <f t="shared" si="11"/>
        <v>72160</v>
      </c>
      <c r="I19" s="61">
        <f t="shared" si="11"/>
        <v>68480</v>
      </c>
      <c r="J19" s="61">
        <f t="shared" si="11"/>
        <v>59480</v>
      </c>
      <c r="K19" s="61">
        <f t="shared" si="11"/>
        <v>50360</v>
      </c>
    </row>
    <row r="20" spans="1:12" x14ac:dyDescent="0.25">
      <c r="A20" s="8"/>
      <c r="B20" s="17"/>
      <c r="C20" s="17"/>
      <c r="D20" s="17"/>
      <c r="E20" s="19"/>
      <c r="F20" s="19"/>
      <c r="G20" s="19"/>
      <c r="H20" s="19"/>
      <c r="I20" s="19"/>
      <c r="J20" s="19"/>
      <c r="K20" s="19"/>
    </row>
    <row r="21" spans="1:12" x14ac:dyDescent="0.25">
      <c r="A21" s="17" t="s">
        <v>20</v>
      </c>
    </row>
    <row r="22" spans="1:12" x14ac:dyDescent="0.25">
      <c r="A22" s="29" t="s">
        <v>21</v>
      </c>
      <c r="E22" s="38">
        <f>E16</f>
        <v>29385</v>
      </c>
      <c r="F22" s="38">
        <f t="shared" ref="F22:K22" si="12">F16</f>
        <v>33255</v>
      </c>
      <c r="G22" s="38">
        <f t="shared" si="12"/>
        <v>33390</v>
      </c>
      <c r="H22" s="38">
        <f t="shared" si="12"/>
        <v>30015</v>
      </c>
      <c r="I22" s="38">
        <f t="shared" si="12"/>
        <v>24930</v>
      </c>
      <c r="J22" s="38">
        <f t="shared" si="12"/>
        <v>20340</v>
      </c>
      <c r="K22" s="38">
        <f t="shared" si="12"/>
        <v>17775</v>
      </c>
    </row>
    <row r="23" spans="1:12" x14ac:dyDescent="0.25">
      <c r="A23" s="29" t="s">
        <v>22</v>
      </c>
      <c r="E23" s="38">
        <f>$B40</f>
        <v>9000</v>
      </c>
      <c r="F23" s="38">
        <f t="shared" ref="F23:K23" si="13">$B40</f>
        <v>9000</v>
      </c>
      <c r="G23" s="38">
        <f t="shared" si="13"/>
        <v>9000</v>
      </c>
      <c r="H23" s="38">
        <f t="shared" si="13"/>
        <v>9000</v>
      </c>
      <c r="I23" s="38">
        <f t="shared" si="13"/>
        <v>9000</v>
      </c>
      <c r="J23" s="38">
        <f t="shared" si="13"/>
        <v>9000</v>
      </c>
      <c r="K23" s="38">
        <f t="shared" si="13"/>
        <v>9000</v>
      </c>
    </row>
    <row r="24" spans="1:12" x14ac:dyDescent="0.25">
      <c r="A24" s="29" t="s">
        <v>23</v>
      </c>
      <c r="E24" s="38">
        <f t="shared" ref="E24:K27" si="14">$B41</f>
        <v>12000</v>
      </c>
      <c r="F24" s="38">
        <f t="shared" si="14"/>
        <v>12000</v>
      </c>
      <c r="G24" s="38">
        <f t="shared" si="14"/>
        <v>12000</v>
      </c>
      <c r="H24" s="38">
        <f t="shared" si="14"/>
        <v>12000</v>
      </c>
      <c r="I24" s="38">
        <f t="shared" si="14"/>
        <v>12000</v>
      </c>
      <c r="J24" s="38">
        <f t="shared" si="14"/>
        <v>12000</v>
      </c>
      <c r="K24" s="38">
        <f t="shared" si="14"/>
        <v>12000</v>
      </c>
    </row>
    <row r="25" spans="1:12" x14ac:dyDescent="0.25">
      <c r="A25" s="29" t="s">
        <v>24</v>
      </c>
      <c r="E25" s="38">
        <f t="shared" si="14"/>
        <v>4000</v>
      </c>
      <c r="F25" s="38">
        <f t="shared" si="14"/>
        <v>4000</v>
      </c>
      <c r="G25" s="38">
        <f t="shared" si="14"/>
        <v>4000</v>
      </c>
      <c r="H25" s="38">
        <f t="shared" si="14"/>
        <v>4000</v>
      </c>
      <c r="I25" s="38">
        <f t="shared" si="14"/>
        <v>4000</v>
      </c>
      <c r="J25" s="38">
        <f t="shared" si="14"/>
        <v>4000</v>
      </c>
      <c r="K25" s="38">
        <f t="shared" si="14"/>
        <v>4000</v>
      </c>
    </row>
    <row r="26" spans="1:12" x14ac:dyDescent="0.25">
      <c r="A26" s="29" t="s">
        <v>25</v>
      </c>
      <c r="E26" s="38">
        <f t="shared" si="14"/>
        <v>221</v>
      </c>
      <c r="F26" s="38">
        <f t="shared" si="14"/>
        <v>221</v>
      </c>
      <c r="G26" s="38">
        <f t="shared" si="14"/>
        <v>221</v>
      </c>
      <c r="H26" s="38">
        <f t="shared" si="14"/>
        <v>221</v>
      </c>
      <c r="I26" s="38">
        <f t="shared" si="14"/>
        <v>221</v>
      </c>
      <c r="J26" s="38">
        <f t="shared" si="14"/>
        <v>221</v>
      </c>
      <c r="K26" s="38">
        <f t="shared" si="14"/>
        <v>221</v>
      </c>
    </row>
    <row r="27" spans="1:12" x14ac:dyDescent="0.25">
      <c r="A27" s="29" t="s">
        <v>27</v>
      </c>
      <c r="E27" s="38">
        <f t="shared" si="14"/>
        <v>700</v>
      </c>
      <c r="F27" s="38">
        <f t="shared" si="14"/>
        <v>700</v>
      </c>
      <c r="G27" s="38">
        <f t="shared" si="14"/>
        <v>700</v>
      </c>
      <c r="H27" s="38">
        <f t="shared" si="14"/>
        <v>700</v>
      </c>
      <c r="I27" s="38">
        <f t="shared" si="14"/>
        <v>700</v>
      </c>
      <c r="J27" s="38">
        <f t="shared" si="14"/>
        <v>700</v>
      </c>
      <c r="K27" s="38">
        <f t="shared" si="14"/>
        <v>700</v>
      </c>
    </row>
    <row r="28" spans="1:12" x14ac:dyDescent="0.25">
      <c r="A28" s="29" t="s">
        <v>28</v>
      </c>
      <c r="E28" s="38">
        <f>IF(MONTH(E4)&gt;=10,$B$45,0)</f>
        <v>0</v>
      </c>
      <c r="F28" s="38">
        <f t="shared" ref="F28:K28" si="15">IF(MONTH(F4)&gt;=10,$B$45,0)</f>
        <v>0</v>
      </c>
      <c r="G28" s="38">
        <f t="shared" si="15"/>
        <v>0</v>
      </c>
      <c r="H28" s="38">
        <f t="shared" si="15"/>
        <v>0</v>
      </c>
      <c r="I28" s="38">
        <f t="shared" si="15"/>
        <v>200</v>
      </c>
      <c r="J28" s="38">
        <f t="shared" si="15"/>
        <v>200</v>
      </c>
      <c r="K28" s="38">
        <f t="shared" si="15"/>
        <v>200</v>
      </c>
    </row>
    <row r="29" spans="1:12" x14ac:dyDescent="0.25">
      <c r="A29" s="29" t="s">
        <v>29</v>
      </c>
      <c r="B29" s="21">
        <v>7.0000000000000007E-2</v>
      </c>
      <c r="E29" s="38">
        <f>IF(MOD(MONTH(E$4),3)=0,$B29*SUM(C$5:E$5),0)</f>
        <v>11900.000000000002</v>
      </c>
      <c r="F29" s="38">
        <f t="shared" ref="F29:K30" si="16">IF(MOD(MONTH(F$4),3)=0,$B29*SUM(D$5:F$5),0)</f>
        <v>0</v>
      </c>
      <c r="G29" s="38">
        <f t="shared" si="16"/>
        <v>0</v>
      </c>
      <c r="H29" s="38">
        <f t="shared" si="16"/>
        <v>15330.000000000002</v>
      </c>
      <c r="I29" s="38">
        <f t="shared" si="16"/>
        <v>0</v>
      </c>
      <c r="J29" s="38">
        <f t="shared" si="16"/>
        <v>0</v>
      </c>
      <c r="K29" s="38">
        <f t="shared" si="16"/>
        <v>10290.000000000002</v>
      </c>
    </row>
    <row r="30" spans="1:12" x14ac:dyDescent="0.25">
      <c r="A30" s="29" t="s">
        <v>30</v>
      </c>
      <c r="B30" s="21">
        <v>0.04</v>
      </c>
      <c r="E30" s="39">
        <f>IF(MOD(MONTH(E$4),3)=0,$B30*SUM(C$5:E$5),0)</f>
        <v>6800</v>
      </c>
      <c r="F30" s="39">
        <f t="shared" si="16"/>
        <v>0</v>
      </c>
      <c r="G30" s="39">
        <f t="shared" si="16"/>
        <v>0</v>
      </c>
      <c r="H30" s="39">
        <f t="shared" si="16"/>
        <v>8760</v>
      </c>
      <c r="I30" s="39">
        <f t="shared" si="16"/>
        <v>0</v>
      </c>
      <c r="J30" s="39">
        <f t="shared" si="16"/>
        <v>0</v>
      </c>
      <c r="K30" s="39">
        <f t="shared" si="16"/>
        <v>5880</v>
      </c>
      <c r="L30" s="31"/>
    </row>
    <row r="31" spans="1:12" ht="15.75" thickBot="1" x14ac:dyDescent="0.3">
      <c r="A31" s="32" t="s">
        <v>31</v>
      </c>
      <c r="B31" s="25"/>
      <c r="C31" s="25"/>
      <c r="D31" s="25"/>
      <c r="E31" s="26">
        <f>SUM(E22:E30)</f>
        <v>74006</v>
      </c>
      <c r="F31" s="26">
        <f t="shared" ref="F31:K31" si="17">SUM(F22:F30)</f>
        <v>59176</v>
      </c>
      <c r="G31" s="26">
        <f t="shared" si="17"/>
        <v>59311</v>
      </c>
      <c r="H31" s="26">
        <f t="shared" si="17"/>
        <v>80026</v>
      </c>
      <c r="I31" s="26">
        <f t="shared" si="17"/>
        <v>51051</v>
      </c>
      <c r="J31" s="26">
        <f t="shared" si="17"/>
        <v>46461</v>
      </c>
      <c r="K31" s="26">
        <f t="shared" si="17"/>
        <v>60066</v>
      </c>
      <c r="L31" s="25"/>
    </row>
    <row r="32" spans="1:12" x14ac:dyDescent="0.25">
      <c r="E32" s="38"/>
      <c r="F32" s="38"/>
      <c r="G32" s="38"/>
      <c r="H32" s="38"/>
      <c r="I32" s="38"/>
      <c r="J32" s="38"/>
      <c r="K32" s="38"/>
    </row>
    <row r="33" spans="1:12" x14ac:dyDescent="0.25">
      <c r="A33" s="33" t="s">
        <v>32</v>
      </c>
      <c r="E33" s="38">
        <f>D36</f>
        <v>15000</v>
      </c>
      <c r="F33" s="38">
        <f t="shared" ref="F33:K33" si="18">E36</f>
        <v>-2886</v>
      </c>
      <c r="G33" s="38">
        <f t="shared" si="18"/>
        <v>1938</v>
      </c>
      <c r="H33" s="38">
        <f t="shared" si="18"/>
        <v>11547</v>
      </c>
      <c r="I33" s="38">
        <f t="shared" si="18"/>
        <v>3681</v>
      </c>
      <c r="J33" s="38">
        <f t="shared" si="18"/>
        <v>21110</v>
      </c>
      <c r="K33" s="38">
        <f t="shared" si="18"/>
        <v>34129</v>
      </c>
    </row>
    <row r="34" spans="1:12" x14ac:dyDescent="0.25">
      <c r="A34" s="29" t="s">
        <v>33</v>
      </c>
      <c r="E34" s="38">
        <f t="shared" ref="E34:K34" si="19">E19</f>
        <v>56120</v>
      </c>
      <c r="F34" s="38">
        <f t="shared" si="19"/>
        <v>64000</v>
      </c>
      <c r="G34" s="38">
        <f t="shared" si="19"/>
        <v>68920</v>
      </c>
      <c r="H34" s="38">
        <f t="shared" si="19"/>
        <v>72160</v>
      </c>
      <c r="I34" s="38">
        <f t="shared" si="19"/>
        <v>68480</v>
      </c>
      <c r="J34" s="38">
        <f t="shared" si="19"/>
        <v>59480</v>
      </c>
      <c r="K34" s="38">
        <f t="shared" si="19"/>
        <v>50360</v>
      </c>
    </row>
    <row r="35" spans="1:12" x14ac:dyDescent="0.25">
      <c r="A35" s="29" t="s">
        <v>34</v>
      </c>
      <c r="D35" s="31"/>
      <c r="E35" s="39">
        <f>E31</f>
        <v>74006</v>
      </c>
      <c r="F35" s="39">
        <f t="shared" ref="F35:K35" si="20">F31</f>
        <v>59176</v>
      </c>
      <c r="G35" s="39">
        <f t="shared" si="20"/>
        <v>59311</v>
      </c>
      <c r="H35" s="39">
        <f t="shared" si="20"/>
        <v>80026</v>
      </c>
      <c r="I35" s="39">
        <f t="shared" si="20"/>
        <v>51051</v>
      </c>
      <c r="J35" s="39">
        <f t="shared" si="20"/>
        <v>46461</v>
      </c>
      <c r="K35" s="39">
        <f t="shared" si="20"/>
        <v>60066</v>
      </c>
      <c r="L35" s="31"/>
    </row>
    <row r="36" spans="1:12" ht="15.75" thickBot="1" x14ac:dyDescent="0.3">
      <c r="A36" s="35" t="s">
        <v>37</v>
      </c>
      <c r="B36" s="25"/>
      <c r="C36" s="25"/>
      <c r="D36" s="45">
        <v>15000</v>
      </c>
      <c r="E36" s="45">
        <f>E33+E34-E35</f>
        <v>-2886</v>
      </c>
      <c r="F36" s="45">
        <f t="shared" ref="F36:K36" si="21">F33+F34-F35</f>
        <v>1938</v>
      </c>
      <c r="G36" s="45">
        <f t="shared" si="21"/>
        <v>11547</v>
      </c>
      <c r="H36" s="45">
        <f t="shared" si="21"/>
        <v>3681</v>
      </c>
      <c r="I36" s="45">
        <f t="shared" si="21"/>
        <v>21110</v>
      </c>
      <c r="J36" s="45">
        <f t="shared" si="21"/>
        <v>34129</v>
      </c>
      <c r="K36" s="45">
        <f t="shared" si="21"/>
        <v>24423</v>
      </c>
      <c r="L36" s="25"/>
    </row>
    <row r="37" spans="1:12" x14ac:dyDescent="0.25">
      <c r="E37" s="38"/>
      <c r="F37" s="38"/>
      <c r="G37" s="38"/>
      <c r="H37" s="38"/>
      <c r="I37" s="38"/>
      <c r="J37" s="38"/>
      <c r="K37" s="38"/>
    </row>
    <row r="38" spans="1:12" x14ac:dyDescent="0.25">
      <c r="A38" t="s">
        <v>39</v>
      </c>
      <c r="B38" s="38">
        <v>12000</v>
      </c>
      <c r="E38" s="38"/>
      <c r="F38" s="38"/>
      <c r="G38" s="38"/>
      <c r="H38" s="38"/>
      <c r="I38" s="38"/>
      <c r="J38" s="38"/>
      <c r="K38" s="38"/>
    </row>
    <row r="39" spans="1:12" x14ac:dyDescent="0.25">
      <c r="B39" s="38"/>
      <c r="E39" s="38"/>
      <c r="F39" s="38"/>
      <c r="G39" s="38"/>
      <c r="H39" s="38"/>
      <c r="I39" s="38"/>
      <c r="J39" s="38"/>
      <c r="K39" s="38"/>
    </row>
    <row r="40" spans="1:12" x14ac:dyDescent="0.25">
      <c r="A40" s="33" t="s">
        <v>22</v>
      </c>
      <c r="B40" s="38">
        <v>9000</v>
      </c>
      <c r="E40" s="38"/>
      <c r="F40" s="38"/>
      <c r="G40" s="38"/>
      <c r="H40" s="38"/>
      <c r="I40" s="38"/>
      <c r="J40" s="38"/>
      <c r="K40" s="38"/>
    </row>
    <row r="41" spans="1:12" x14ac:dyDescent="0.25">
      <c r="A41" s="33" t="s">
        <v>23</v>
      </c>
      <c r="B41" s="38">
        <v>12000</v>
      </c>
      <c r="E41" s="38"/>
      <c r="F41" s="38"/>
      <c r="G41" s="38"/>
      <c r="H41" s="38"/>
      <c r="I41" s="38"/>
      <c r="J41" s="38"/>
      <c r="K41" s="38"/>
    </row>
    <row r="42" spans="1:12" x14ac:dyDescent="0.25">
      <c r="A42" s="33" t="s">
        <v>24</v>
      </c>
      <c r="B42" s="38">
        <v>4000</v>
      </c>
      <c r="E42" s="38"/>
      <c r="F42" s="38"/>
      <c r="G42" s="38"/>
      <c r="H42" s="38"/>
      <c r="I42" s="38"/>
      <c r="J42" s="38"/>
      <c r="K42" s="38"/>
    </row>
    <row r="43" spans="1:12" x14ac:dyDescent="0.25">
      <c r="A43" s="33" t="s">
        <v>25</v>
      </c>
      <c r="B43" s="38">
        <v>221</v>
      </c>
      <c r="E43" s="38"/>
      <c r="F43" s="38"/>
      <c r="G43" s="38"/>
      <c r="H43" s="38"/>
      <c r="I43" s="38"/>
      <c r="J43" s="38"/>
      <c r="K43" s="38"/>
    </row>
    <row r="44" spans="1:12" x14ac:dyDescent="0.25">
      <c r="A44" s="33" t="s">
        <v>27</v>
      </c>
      <c r="B44" s="38">
        <v>700</v>
      </c>
    </row>
    <row r="45" spans="1:12" x14ac:dyDescent="0.25">
      <c r="A45" s="71" t="s">
        <v>102</v>
      </c>
      <c r="B45" s="38">
        <v>200</v>
      </c>
    </row>
  </sheetData>
  <phoneticPr fontId="7" type="noConversion"/>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V50"/>
  <sheetViews>
    <sheetView showGridLines="0" workbookViewId="0">
      <selection activeCell="A5" sqref="A5"/>
    </sheetView>
  </sheetViews>
  <sheetFormatPr defaultRowHeight="15" x14ac:dyDescent="0.25"/>
  <cols>
    <col min="1" max="1" width="28.140625" customWidth="1"/>
    <col min="3" max="12" width="11.28515625" customWidth="1"/>
  </cols>
  <sheetData>
    <row r="1" spans="1:22" x14ac:dyDescent="0.25">
      <c r="A1" s="1" t="str">
        <f>'Prob 4 A'!A1</f>
        <v>Idaho Springs Hardware</v>
      </c>
      <c r="B1" s="1"/>
      <c r="C1" s="1"/>
      <c r="D1" s="2"/>
      <c r="E1" s="2"/>
      <c r="F1" s="2"/>
      <c r="G1" s="2"/>
      <c r="H1" s="2"/>
      <c r="I1" s="2"/>
      <c r="J1" s="2"/>
      <c r="K1" s="2"/>
      <c r="L1" s="2"/>
    </row>
    <row r="2" spans="1:22" x14ac:dyDescent="0.25">
      <c r="A2" s="1" t="str">
        <f>'Prob 4 A'!A2</f>
        <v>Cash Budget</v>
      </c>
      <c r="B2" s="1"/>
      <c r="C2" s="1"/>
      <c r="D2" s="2"/>
      <c r="E2" s="2"/>
      <c r="F2" s="2"/>
      <c r="G2" s="2"/>
      <c r="H2" s="2"/>
      <c r="I2" s="2"/>
      <c r="J2" s="2"/>
      <c r="K2" s="2"/>
      <c r="L2" s="2"/>
    </row>
    <row r="3" spans="1:22" ht="15.75" thickBot="1" x14ac:dyDescent="0.3">
      <c r="A3" s="1" t="str">
        <f>'Prob 4 A'!A3</f>
        <v>For the Period June 2010 to November 2010</v>
      </c>
      <c r="B3" s="1"/>
      <c r="C3" s="1"/>
      <c r="D3" s="2"/>
      <c r="E3" s="2"/>
      <c r="F3" s="2"/>
      <c r="G3" s="2"/>
      <c r="H3" s="2"/>
      <c r="I3" s="2"/>
      <c r="J3" s="2"/>
      <c r="K3" s="2"/>
      <c r="L3" s="2"/>
    </row>
    <row r="4" spans="1:22" ht="15.75" thickBot="1" x14ac:dyDescent="0.3">
      <c r="A4" s="3"/>
      <c r="B4" s="3"/>
      <c r="C4" s="59">
        <f>'Prob 4 A'!C4</f>
        <v>40269</v>
      </c>
      <c r="D4" s="59">
        <f>'Prob 4 A'!D4</f>
        <v>40299</v>
      </c>
      <c r="E4" s="59">
        <f>'Prob 4 A'!E4</f>
        <v>40330</v>
      </c>
      <c r="F4" s="59">
        <f>'Prob 4 A'!F4</f>
        <v>40360</v>
      </c>
      <c r="G4" s="59">
        <f>'Prob 4 A'!G4</f>
        <v>40391</v>
      </c>
      <c r="H4" s="59">
        <f>'Prob 4 A'!H4</f>
        <v>40422</v>
      </c>
      <c r="I4" s="59">
        <f>'Prob 4 A'!I4</f>
        <v>40452</v>
      </c>
      <c r="J4" s="59">
        <f>'Prob 4 A'!J4</f>
        <v>40483</v>
      </c>
      <c r="K4" s="59">
        <f>'Prob 4 A'!K4</f>
        <v>40513</v>
      </c>
      <c r="L4" s="59">
        <f>'Prob 4 A'!L4</f>
        <v>40544</v>
      </c>
      <c r="O4" s="4" t="s">
        <v>2</v>
      </c>
      <c r="P4" s="4" t="s">
        <v>3</v>
      </c>
      <c r="Q4" s="4" t="s">
        <v>4</v>
      </c>
      <c r="R4" s="4" t="s">
        <v>5</v>
      </c>
      <c r="S4" s="4" t="s">
        <v>6</v>
      </c>
      <c r="T4" s="4" t="s">
        <v>7</v>
      </c>
      <c r="U4" s="4" t="s">
        <v>8</v>
      </c>
      <c r="V4" s="4" t="s">
        <v>9</v>
      </c>
    </row>
    <row r="5" spans="1:22" x14ac:dyDescent="0.25">
      <c r="A5" t="s">
        <v>10</v>
      </c>
      <c r="B5" s="5">
        <v>1</v>
      </c>
      <c r="C5" s="6">
        <v>51000</v>
      </c>
      <c r="D5" s="6">
        <v>57000</v>
      </c>
      <c r="E5" s="6">
        <f>$B$5*O5</f>
        <v>62000</v>
      </c>
      <c r="F5" s="6">
        <f t="shared" ref="F5:L5" si="0">$B$5*P5</f>
        <v>73000</v>
      </c>
      <c r="G5" s="6">
        <f t="shared" si="0"/>
        <v>76000</v>
      </c>
      <c r="H5" s="6">
        <f t="shared" si="0"/>
        <v>70000</v>
      </c>
      <c r="I5" s="6">
        <f t="shared" si="0"/>
        <v>59000</v>
      </c>
      <c r="J5" s="6">
        <f t="shared" si="0"/>
        <v>47000</v>
      </c>
      <c r="K5" s="6">
        <f t="shared" si="0"/>
        <v>41000</v>
      </c>
      <c r="L5" s="6">
        <f t="shared" si="0"/>
        <v>36000</v>
      </c>
      <c r="O5" s="6">
        <f>'Prob 4 A'!O5</f>
        <v>62000</v>
      </c>
      <c r="P5" s="6">
        <f>'Prob 4 A'!P5</f>
        <v>73000</v>
      </c>
      <c r="Q5" s="6">
        <f>'Prob 4 A'!Q5</f>
        <v>76000</v>
      </c>
      <c r="R5" s="6">
        <f>'Prob 4 A'!R5</f>
        <v>70000</v>
      </c>
      <c r="S5" s="6">
        <f>'Prob 4 A'!S5</f>
        <v>59000</v>
      </c>
      <c r="T5" s="6">
        <f>'Prob 4 A'!T5</f>
        <v>47000</v>
      </c>
      <c r="U5" s="6">
        <f>'Prob 4 A'!U5</f>
        <v>41000</v>
      </c>
      <c r="V5" s="6">
        <f>'Prob 4 A'!V5</f>
        <v>36000</v>
      </c>
    </row>
    <row r="6" spans="1:22" x14ac:dyDescent="0.25">
      <c r="A6" s="7" t="s">
        <v>11</v>
      </c>
      <c r="B6" s="7"/>
      <c r="C6" s="7"/>
    </row>
    <row r="7" spans="1:22" x14ac:dyDescent="0.25">
      <c r="A7" s="8" t="s">
        <v>12</v>
      </c>
      <c r="B7" s="9">
        <v>0.4</v>
      </c>
      <c r="C7" s="10"/>
      <c r="E7" s="11">
        <f t="shared" ref="E7:K7" si="1">$B$7*E5</f>
        <v>24800</v>
      </c>
      <c r="F7" s="11">
        <f t="shared" si="1"/>
        <v>29200</v>
      </c>
      <c r="G7" s="11">
        <f t="shared" si="1"/>
        <v>30400</v>
      </c>
      <c r="H7" s="11">
        <f t="shared" si="1"/>
        <v>28000</v>
      </c>
      <c r="I7" s="11">
        <f t="shared" si="1"/>
        <v>23600</v>
      </c>
      <c r="J7" s="11">
        <f t="shared" si="1"/>
        <v>18800</v>
      </c>
      <c r="K7" s="11">
        <f t="shared" si="1"/>
        <v>16400</v>
      </c>
    </row>
    <row r="8" spans="1:22" x14ac:dyDescent="0.25">
      <c r="A8" s="8" t="s">
        <v>13</v>
      </c>
      <c r="B8" s="9">
        <v>0.12</v>
      </c>
      <c r="C8" s="10"/>
      <c r="E8" s="11">
        <f t="shared" ref="E8:K8" si="2">$B$8*D5</f>
        <v>6840</v>
      </c>
      <c r="F8" s="11">
        <f t="shared" si="2"/>
        <v>7440</v>
      </c>
      <c r="G8" s="11">
        <f t="shared" si="2"/>
        <v>8760</v>
      </c>
      <c r="H8" s="11">
        <f t="shared" si="2"/>
        <v>9120</v>
      </c>
      <c r="I8" s="11">
        <f t="shared" si="2"/>
        <v>8400</v>
      </c>
      <c r="J8" s="11">
        <f t="shared" si="2"/>
        <v>7080</v>
      </c>
      <c r="K8" s="11">
        <f t="shared" si="2"/>
        <v>5640</v>
      </c>
    </row>
    <row r="9" spans="1:22" x14ac:dyDescent="0.25">
      <c r="A9" s="12" t="s">
        <v>14</v>
      </c>
      <c r="B9" s="13">
        <f>1-SUM(B7:B8)</f>
        <v>0.48</v>
      </c>
      <c r="C9" s="14"/>
      <c r="D9" s="15"/>
      <c r="E9" s="16">
        <f t="shared" ref="E9:K9" si="3">$B$9*C5</f>
        <v>24480</v>
      </c>
      <c r="F9" s="16">
        <f t="shared" si="3"/>
        <v>27360</v>
      </c>
      <c r="G9" s="16">
        <f t="shared" si="3"/>
        <v>29760</v>
      </c>
      <c r="H9" s="16">
        <f t="shared" si="3"/>
        <v>35040</v>
      </c>
      <c r="I9" s="16">
        <f t="shared" si="3"/>
        <v>36480</v>
      </c>
      <c r="J9" s="16">
        <f t="shared" si="3"/>
        <v>33600</v>
      </c>
      <c r="K9" s="16">
        <f t="shared" si="3"/>
        <v>28320</v>
      </c>
    </row>
    <row r="10" spans="1:22" x14ac:dyDescent="0.25">
      <c r="A10" s="17" t="s">
        <v>15</v>
      </c>
      <c r="B10" s="17"/>
      <c r="C10" s="17"/>
      <c r="D10" s="17"/>
      <c r="E10" s="18">
        <f t="shared" ref="E10:K10" si="4">SUM(E7:E9)</f>
        <v>56120</v>
      </c>
      <c r="F10" s="18">
        <f t="shared" si="4"/>
        <v>64000</v>
      </c>
      <c r="G10" s="18">
        <f t="shared" si="4"/>
        <v>68920</v>
      </c>
      <c r="H10" s="18">
        <f t="shared" si="4"/>
        <v>72160</v>
      </c>
      <c r="I10" s="18">
        <f t="shared" si="4"/>
        <v>68480</v>
      </c>
      <c r="J10" s="18">
        <f t="shared" si="4"/>
        <v>59480</v>
      </c>
      <c r="K10" s="18">
        <f t="shared" si="4"/>
        <v>50360</v>
      </c>
    </row>
    <row r="11" spans="1:22" x14ac:dyDescent="0.25">
      <c r="A11" s="17"/>
      <c r="B11" s="17"/>
      <c r="C11" s="17"/>
      <c r="D11" s="17"/>
      <c r="E11" s="19"/>
      <c r="F11" s="19"/>
      <c r="G11" s="19"/>
      <c r="H11" s="19"/>
      <c r="I11" s="19"/>
      <c r="J11" s="19"/>
      <c r="K11" s="19"/>
    </row>
    <row r="12" spans="1:22" x14ac:dyDescent="0.25">
      <c r="A12" s="20" t="s">
        <v>16</v>
      </c>
      <c r="B12" s="5">
        <v>0.45</v>
      </c>
      <c r="C12" s="22"/>
      <c r="D12" s="22">
        <f t="shared" ref="D12:K12" si="5">$B$12*E5</f>
        <v>27900</v>
      </c>
      <c r="E12" s="22">
        <f t="shared" si="5"/>
        <v>32850</v>
      </c>
      <c r="F12" s="22">
        <f t="shared" si="5"/>
        <v>34200</v>
      </c>
      <c r="G12" s="22">
        <f t="shared" si="5"/>
        <v>31500</v>
      </c>
      <c r="H12" s="22">
        <f t="shared" si="5"/>
        <v>26550</v>
      </c>
      <c r="I12" s="22">
        <f t="shared" si="5"/>
        <v>21150</v>
      </c>
      <c r="J12" s="22">
        <f t="shared" si="5"/>
        <v>18450</v>
      </c>
      <c r="K12" s="22">
        <f t="shared" si="5"/>
        <v>16200</v>
      </c>
    </row>
    <row r="13" spans="1:22" x14ac:dyDescent="0.25">
      <c r="A13" s="20" t="s">
        <v>17</v>
      </c>
      <c r="B13" s="52"/>
    </row>
    <row r="14" spans="1:22" x14ac:dyDescent="0.25">
      <c r="A14" s="23" t="s">
        <v>12</v>
      </c>
      <c r="B14" s="5">
        <v>0.3</v>
      </c>
      <c r="E14" s="11">
        <f t="shared" ref="E14:K14" si="6">$B$14*E12</f>
        <v>9855</v>
      </c>
      <c r="F14" s="11">
        <f t="shared" si="6"/>
        <v>10260</v>
      </c>
      <c r="G14" s="11">
        <f t="shared" si="6"/>
        <v>9450</v>
      </c>
      <c r="H14" s="11">
        <f t="shared" si="6"/>
        <v>7965</v>
      </c>
      <c r="I14" s="11">
        <f t="shared" si="6"/>
        <v>6345</v>
      </c>
      <c r="J14" s="11">
        <f t="shared" si="6"/>
        <v>5535</v>
      </c>
      <c r="K14" s="11">
        <f t="shared" si="6"/>
        <v>4860</v>
      </c>
    </row>
    <row r="15" spans="1:22" x14ac:dyDescent="0.25">
      <c r="A15" s="23" t="s">
        <v>13</v>
      </c>
      <c r="B15" s="5">
        <f>1-B14</f>
        <v>0.7</v>
      </c>
      <c r="E15" s="16">
        <f t="shared" ref="E15:K15" si="7">$B$15*D12</f>
        <v>19530</v>
      </c>
      <c r="F15" s="16">
        <f t="shared" si="7"/>
        <v>22995</v>
      </c>
      <c r="G15" s="16">
        <f t="shared" si="7"/>
        <v>23940</v>
      </c>
      <c r="H15" s="16">
        <f t="shared" si="7"/>
        <v>22050</v>
      </c>
      <c r="I15" s="16">
        <f t="shared" si="7"/>
        <v>18585</v>
      </c>
      <c r="J15" s="16">
        <f t="shared" si="7"/>
        <v>14804.999999999998</v>
      </c>
      <c r="K15" s="16">
        <f t="shared" si="7"/>
        <v>12915</v>
      </c>
    </row>
    <row r="16" spans="1:22" ht="15.75" thickBot="1" x14ac:dyDescent="0.3">
      <c r="A16" s="24" t="s">
        <v>18</v>
      </c>
      <c r="B16" s="25"/>
      <c r="C16" s="25"/>
      <c r="D16" s="25"/>
      <c r="E16" s="26">
        <f t="shared" ref="E16:K16" si="8">SUM(E14:E15)</f>
        <v>29385</v>
      </c>
      <c r="F16" s="26">
        <f t="shared" si="8"/>
        <v>33255</v>
      </c>
      <c r="G16" s="26">
        <f t="shared" si="8"/>
        <v>33390</v>
      </c>
      <c r="H16" s="26">
        <f t="shared" si="8"/>
        <v>30015</v>
      </c>
      <c r="I16" s="26">
        <f t="shared" si="8"/>
        <v>24930</v>
      </c>
      <c r="J16" s="26">
        <f t="shared" si="8"/>
        <v>20340</v>
      </c>
      <c r="K16" s="26">
        <f t="shared" si="8"/>
        <v>17775</v>
      </c>
      <c r="L16" s="25"/>
    </row>
    <row r="17" spans="1:12" x14ac:dyDescent="0.25">
      <c r="A17" s="27"/>
      <c r="B17" s="15"/>
      <c r="C17" s="15"/>
      <c r="D17" s="15"/>
      <c r="E17" s="28"/>
      <c r="F17" s="28"/>
      <c r="G17" s="28"/>
      <c r="H17" s="28"/>
      <c r="I17" s="28"/>
      <c r="J17" s="28"/>
      <c r="K17" s="28"/>
      <c r="L17" s="15"/>
    </row>
    <row r="18" spans="1:12" x14ac:dyDescent="0.25">
      <c r="A18" s="17" t="s">
        <v>19</v>
      </c>
      <c r="B18" s="17"/>
      <c r="C18" s="17"/>
      <c r="D18" s="17"/>
    </row>
    <row r="19" spans="1:12" x14ac:dyDescent="0.25">
      <c r="A19" s="8" t="s">
        <v>82</v>
      </c>
      <c r="B19" s="17"/>
      <c r="C19" s="17"/>
      <c r="D19" s="17"/>
      <c r="E19" s="61">
        <f t="shared" ref="E19:K19" si="9">E10</f>
        <v>56120</v>
      </c>
      <c r="F19" s="61">
        <f t="shared" si="9"/>
        <v>64000</v>
      </c>
      <c r="G19" s="61">
        <f t="shared" si="9"/>
        <v>68920</v>
      </c>
      <c r="H19" s="61">
        <f t="shared" si="9"/>
        <v>72160</v>
      </c>
      <c r="I19" s="61">
        <f t="shared" si="9"/>
        <v>68480</v>
      </c>
      <c r="J19" s="61">
        <f t="shared" si="9"/>
        <v>59480</v>
      </c>
      <c r="K19" s="61">
        <f t="shared" si="9"/>
        <v>50360</v>
      </c>
    </row>
    <row r="20" spans="1:12" x14ac:dyDescent="0.25">
      <c r="A20" s="8"/>
      <c r="B20" s="17"/>
      <c r="C20" s="17"/>
      <c r="D20" s="17"/>
      <c r="E20" s="19"/>
      <c r="F20" s="19"/>
      <c r="G20" s="19"/>
      <c r="H20" s="19"/>
      <c r="I20" s="19"/>
      <c r="J20" s="19"/>
      <c r="K20" s="19"/>
    </row>
    <row r="21" spans="1:12" x14ac:dyDescent="0.25">
      <c r="A21" s="17" t="s">
        <v>20</v>
      </c>
    </row>
    <row r="22" spans="1:12" x14ac:dyDescent="0.25">
      <c r="A22" s="29" t="s">
        <v>21</v>
      </c>
      <c r="E22" s="11">
        <f t="shared" ref="E22:K22" si="10">E16</f>
        <v>29385</v>
      </c>
      <c r="F22" s="11">
        <f t="shared" si="10"/>
        <v>33255</v>
      </c>
      <c r="G22" s="11">
        <f t="shared" si="10"/>
        <v>33390</v>
      </c>
      <c r="H22" s="11">
        <f t="shared" si="10"/>
        <v>30015</v>
      </c>
      <c r="I22" s="11">
        <f t="shared" si="10"/>
        <v>24930</v>
      </c>
      <c r="J22" s="11">
        <f t="shared" si="10"/>
        <v>20340</v>
      </c>
      <c r="K22" s="11">
        <f t="shared" si="10"/>
        <v>17775</v>
      </c>
    </row>
    <row r="23" spans="1:12" x14ac:dyDescent="0.25">
      <c r="A23" s="29" t="s">
        <v>22</v>
      </c>
      <c r="E23" s="11">
        <f>$B45</f>
        <v>9000</v>
      </c>
      <c r="F23" s="11">
        <f t="shared" ref="F23:K23" si="11">$B45</f>
        <v>9000</v>
      </c>
      <c r="G23" s="11">
        <f t="shared" si="11"/>
        <v>9000</v>
      </c>
      <c r="H23" s="11">
        <f t="shared" si="11"/>
        <v>9000</v>
      </c>
      <c r="I23" s="11">
        <f t="shared" si="11"/>
        <v>9000</v>
      </c>
      <c r="J23" s="11">
        <f t="shared" si="11"/>
        <v>9000</v>
      </c>
      <c r="K23" s="11">
        <f t="shared" si="11"/>
        <v>9000</v>
      </c>
    </row>
    <row r="24" spans="1:12" x14ac:dyDescent="0.25">
      <c r="A24" s="29" t="s">
        <v>23</v>
      </c>
      <c r="E24" s="11">
        <f t="shared" ref="E24:K26" si="12">$B46</f>
        <v>12000</v>
      </c>
      <c r="F24" s="11">
        <f t="shared" si="12"/>
        <v>12000</v>
      </c>
      <c r="G24" s="11">
        <f t="shared" si="12"/>
        <v>12000</v>
      </c>
      <c r="H24" s="11">
        <f t="shared" si="12"/>
        <v>12000</v>
      </c>
      <c r="I24" s="11">
        <f t="shared" si="12"/>
        <v>12000</v>
      </c>
      <c r="J24" s="11">
        <f t="shared" si="12"/>
        <v>12000</v>
      </c>
      <c r="K24" s="11">
        <f t="shared" si="12"/>
        <v>12000</v>
      </c>
    </row>
    <row r="25" spans="1:12" x14ac:dyDescent="0.25">
      <c r="A25" s="29" t="s">
        <v>24</v>
      </c>
      <c r="E25" s="11">
        <f t="shared" si="12"/>
        <v>4000</v>
      </c>
      <c r="F25" s="11">
        <f t="shared" si="12"/>
        <v>4000</v>
      </c>
      <c r="G25" s="11">
        <f t="shared" si="12"/>
        <v>4000</v>
      </c>
      <c r="H25" s="11">
        <f t="shared" si="12"/>
        <v>4000</v>
      </c>
      <c r="I25" s="11">
        <f t="shared" si="12"/>
        <v>4000</v>
      </c>
      <c r="J25" s="11">
        <f t="shared" si="12"/>
        <v>4000</v>
      </c>
      <c r="K25" s="11">
        <f t="shared" si="12"/>
        <v>4000</v>
      </c>
    </row>
    <row r="26" spans="1:12" x14ac:dyDescent="0.25">
      <c r="A26" s="29" t="s">
        <v>25</v>
      </c>
      <c r="E26" s="11">
        <f t="shared" si="12"/>
        <v>221</v>
      </c>
      <c r="F26" s="11">
        <f t="shared" si="12"/>
        <v>221</v>
      </c>
      <c r="G26" s="11">
        <f t="shared" si="12"/>
        <v>221</v>
      </c>
      <c r="H26" s="11">
        <f t="shared" si="12"/>
        <v>221</v>
      </c>
      <c r="I26" s="11">
        <f t="shared" si="12"/>
        <v>221</v>
      </c>
      <c r="J26" s="11">
        <f t="shared" si="12"/>
        <v>221</v>
      </c>
      <c r="K26" s="11">
        <f t="shared" si="12"/>
        <v>221</v>
      </c>
    </row>
    <row r="27" spans="1:12" x14ac:dyDescent="0.25">
      <c r="A27" s="29" t="s">
        <v>26</v>
      </c>
      <c r="E27" s="11">
        <f t="shared" ref="E27:K27" si="13">$B$44*D41</f>
        <v>0</v>
      </c>
      <c r="F27" s="11">
        <f t="shared" si="13"/>
        <v>111.645</v>
      </c>
      <c r="G27" s="11">
        <f t="shared" si="13"/>
        <v>76.302337499999979</v>
      </c>
      <c r="H27" s="11">
        <f t="shared" si="13"/>
        <v>4.8071050312499572</v>
      </c>
      <c r="I27" s="11">
        <f t="shared" si="13"/>
        <v>63.838158318984384</v>
      </c>
      <c r="J27" s="11">
        <f t="shared" si="13"/>
        <v>0</v>
      </c>
      <c r="K27" s="11">
        <f t="shared" si="13"/>
        <v>0</v>
      </c>
    </row>
    <row r="28" spans="1:12" x14ac:dyDescent="0.25">
      <c r="A28" s="29" t="s">
        <v>27</v>
      </c>
      <c r="E28" s="11">
        <f>$B49</f>
        <v>700</v>
      </c>
      <c r="F28" s="11">
        <f t="shared" ref="F28:K28" si="14">$B49</f>
        <v>700</v>
      </c>
      <c r="G28" s="11">
        <f t="shared" si="14"/>
        <v>700</v>
      </c>
      <c r="H28" s="11">
        <f t="shared" si="14"/>
        <v>700</v>
      </c>
      <c r="I28" s="11">
        <f t="shared" si="14"/>
        <v>700</v>
      </c>
      <c r="J28" s="11">
        <f t="shared" si="14"/>
        <v>700</v>
      </c>
      <c r="K28" s="11">
        <f t="shared" si="14"/>
        <v>700</v>
      </c>
    </row>
    <row r="29" spans="1:12" x14ac:dyDescent="0.25">
      <c r="A29" s="29" t="s">
        <v>28</v>
      </c>
      <c r="E29" s="11">
        <f t="shared" ref="E29:K29" si="15">IF(MONTH(E4)&gt;=10,$B$50,0)</f>
        <v>0</v>
      </c>
      <c r="F29" s="11">
        <f t="shared" si="15"/>
        <v>0</v>
      </c>
      <c r="G29" s="11">
        <f t="shared" si="15"/>
        <v>0</v>
      </c>
      <c r="H29" s="11">
        <f t="shared" si="15"/>
        <v>0</v>
      </c>
      <c r="I29" s="11">
        <f t="shared" si="15"/>
        <v>200</v>
      </c>
      <c r="J29" s="11">
        <f t="shared" si="15"/>
        <v>200</v>
      </c>
      <c r="K29" s="11">
        <f t="shared" si="15"/>
        <v>200</v>
      </c>
    </row>
    <row r="30" spans="1:12" x14ac:dyDescent="0.25">
      <c r="A30" s="29" t="s">
        <v>29</v>
      </c>
      <c r="B30" s="5">
        <v>7.0000000000000007E-2</v>
      </c>
      <c r="E30" s="38">
        <f>IF(MOD(MONTH(E$4),3)=0,$B30*SUM(C$5:E$5),0)</f>
        <v>11900.000000000002</v>
      </c>
      <c r="F30" s="38">
        <f t="shared" ref="F30:K31" si="16">IF(MOD(MONTH(F$4),3)=0,$B30*SUM(D$5:F$5),0)</f>
        <v>0</v>
      </c>
      <c r="G30" s="38">
        <f t="shared" si="16"/>
        <v>0</v>
      </c>
      <c r="H30" s="38">
        <f t="shared" si="16"/>
        <v>15330.000000000002</v>
      </c>
      <c r="I30" s="38">
        <f t="shared" si="16"/>
        <v>0</v>
      </c>
      <c r="J30" s="38">
        <f t="shared" si="16"/>
        <v>0</v>
      </c>
      <c r="K30" s="38">
        <f t="shared" si="16"/>
        <v>10290.000000000002</v>
      </c>
    </row>
    <row r="31" spans="1:12" x14ac:dyDescent="0.25">
      <c r="A31" s="29" t="s">
        <v>30</v>
      </c>
      <c r="B31" s="5">
        <v>0.04</v>
      </c>
      <c r="E31" s="39">
        <f>IF(MOD(MONTH(E$4),3)=0,$B31*SUM(C$5:E$5),0)</f>
        <v>6800</v>
      </c>
      <c r="F31" s="39">
        <f t="shared" si="16"/>
        <v>0</v>
      </c>
      <c r="G31" s="39">
        <f t="shared" si="16"/>
        <v>0</v>
      </c>
      <c r="H31" s="39">
        <f t="shared" si="16"/>
        <v>8760</v>
      </c>
      <c r="I31" s="39">
        <f t="shared" si="16"/>
        <v>0</v>
      </c>
      <c r="J31" s="39">
        <f t="shared" si="16"/>
        <v>0</v>
      </c>
      <c r="K31" s="39">
        <f t="shared" si="16"/>
        <v>5880</v>
      </c>
      <c r="L31" s="31"/>
    </row>
    <row r="32" spans="1:12" ht="15.75" thickBot="1" x14ac:dyDescent="0.3">
      <c r="A32" s="32" t="s">
        <v>31</v>
      </c>
      <c r="B32" s="25"/>
      <c r="C32" s="25"/>
      <c r="D32" s="25"/>
      <c r="E32" s="26">
        <f t="shared" ref="E32:K32" si="17">SUM(E22:E31)</f>
        <v>74006</v>
      </c>
      <c r="F32" s="26">
        <f t="shared" si="17"/>
        <v>59287.644999999997</v>
      </c>
      <c r="G32" s="26">
        <f t="shared" si="17"/>
        <v>59387.302337499998</v>
      </c>
      <c r="H32" s="26">
        <f t="shared" si="17"/>
        <v>80030.807105031257</v>
      </c>
      <c r="I32" s="26">
        <f t="shared" si="17"/>
        <v>51114.838158318984</v>
      </c>
      <c r="J32" s="26">
        <f t="shared" si="17"/>
        <v>46461</v>
      </c>
      <c r="K32" s="26">
        <f t="shared" si="17"/>
        <v>60066</v>
      </c>
      <c r="L32" s="25"/>
    </row>
    <row r="33" spans="1:12" x14ac:dyDescent="0.25">
      <c r="E33" s="11"/>
      <c r="F33" s="11"/>
      <c r="G33" s="11"/>
      <c r="H33" s="11"/>
      <c r="I33" s="11"/>
      <c r="J33" s="11"/>
      <c r="K33" s="11"/>
    </row>
    <row r="34" spans="1:12" x14ac:dyDescent="0.25">
      <c r="A34" s="33" t="s">
        <v>32</v>
      </c>
      <c r="E34" s="11">
        <f t="shared" ref="E34:K34" si="18">D39</f>
        <v>15000</v>
      </c>
      <c r="F34" s="11">
        <f t="shared" si="18"/>
        <v>12000</v>
      </c>
      <c r="G34" s="11">
        <f t="shared" si="18"/>
        <v>12000</v>
      </c>
      <c r="H34" s="11">
        <f t="shared" si="18"/>
        <v>12000</v>
      </c>
      <c r="I34" s="11">
        <f t="shared" si="18"/>
        <v>12000</v>
      </c>
      <c r="J34" s="11">
        <f t="shared" si="18"/>
        <v>20853.407399149764</v>
      </c>
      <c r="K34" s="11">
        <f t="shared" si="18"/>
        <v>33872.407399149757</v>
      </c>
    </row>
    <row r="35" spans="1:12" x14ac:dyDescent="0.25">
      <c r="A35" s="29" t="s">
        <v>33</v>
      </c>
      <c r="E35" s="11">
        <f t="shared" ref="E35:K35" si="19">E19</f>
        <v>56120</v>
      </c>
      <c r="F35" s="11">
        <f t="shared" si="19"/>
        <v>64000</v>
      </c>
      <c r="G35" s="11">
        <f t="shared" si="19"/>
        <v>68920</v>
      </c>
      <c r="H35" s="11">
        <f t="shared" si="19"/>
        <v>72160</v>
      </c>
      <c r="I35" s="11">
        <f t="shared" si="19"/>
        <v>68480</v>
      </c>
      <c r="J35" s="11">
        <f t="shared" si="19"/>
        <v>59480</v>
      </c>
      <c r="K35" s="11">
        <f t="shared" si="19"/>
        <v>50360</v>
      </c>
    </row>
    <row r="36" spans="1:12" x14ac:dyDescent="0.25">
      <c r="A36" s="29" t="s">
        <v>34</v>
      </c>
      <c r="D36" s="31"/>
      <c r="E36" s="16">
        <f t="shared" ref="E36:K36" si="20">E32</f>
        <v>74006</v>
      </c>
      <c r="F36" s="16">
        <f t="shared" si="20"/>
        <v>59287.644999999997</v>
      </c>
      <c r="G36" s="16">
        <f t="shared" si="20"/>
        <v>59387.302337499998</v>
      </c>
      <c r="H36" s="16">
        <f t="shared" si="20"/>
        <v>80030.807105031257</v>
      </c>
      <c r="I36" s="16">
        <f t="shared" si="20"/>
        <v>51114.838158318984</v>
      </c>
      <c r="J36" s="16">
        <f t="shared" si="20"/>
        <v>46461</v>
      </c>
      <c r="K36" s="16">
        <f t="shared" si="20"/>
        <v>60066</v>
      </c>
      <c r="L36" s="31"/>
    </row>
    <row r="37" spans="1:12" x14ac:dyDescent="0.25">
      <c r="A37" s="33" t="s">
        <v>35</v>
      </c>
      <c r="D37" s="34">
        <v>15000</v>
      </c>
      <c r="E37" s="34">
        <f>E34+E35-E36</f>
        <v>-2886</v>
      </c>
      <c r="F37" s="34">
        <f t="shared" ref="F37:K37" si="21">F34+F35-F36</f>
        <v>16712.355000000003</v>
      </c>
      <c r="G37" s="34">
        <f t="shared" si="21"/>
        <v>21532.697662500002</v>
      </c>
      <c r="H37" s="34">
        <f t="shared" si="21"/>
        <v>4129.1928949687426</v>
      </c>
      <c r="I37" s="34">
        <f t="shared" si="21"/>
        <v>29365.161841681016</v>
      </c>
      <c r="J37" s="34">
        <f t="shared" si="21"/>
        <v>33872.407399149757</v>
      </c>
      <c r="K37" s="34">
        <f t="shared" si="21"/>
        <v>24166.407399149757</v>
      </c>
      <c r="L37" s="15"/>
    </row>
    <row r="38" spans="1:12" x14ac:dyDescent="0.25">
      <c r="A38" s="29" t="s">
        <v>36</v>
      </c>
      <c r="D38" s="34">
        <f t="shared" ref="D38" si="22">IF(D37&lt;$B$42,$B$42-D37,IF(AND(D37&gt;$B$42,C41&gt;0),-MIN(D37-$B$42,C41),0))</f>
        <v>0</v>
      </c>
      <c r="E38" s="34">
        <f>IF(E37&lt;$B$42,$B$42-E37,-MIN(E37-$B$42,D41))</f>
        <v>14886</v>
      </c>
      <c r="F38" s="34">
        <f t="shared" ref="F38:K38" si="23">IF(F37&lt;$B$42,$B$42-F37,-MIN(F37-$B$42,E41))</f>
        <v>-4712.3550000000032</v>
      </c>
      <c r="G38" s="34">
        <f t="shared" si="23"/>
        <v>-9532.6976625000025</v>
      </c>
      <c r="H38" s="34">
        <f t="shared" si="23"/>
        <v>7870.8071050312574</v>
      </c>
      <c r="I38" s="34">
        <f t="shared" si="23"/>
        <v>-8511.7544425312517</v>
      </c>
      <c r="J38" s="34">
        <f t="shared" si="23"/>
        <v>0</v>
      </c>
      <c r="K38" s="34">
        <f t="shared" si="23"/>
        <v>0</v>
      </c>
      <c r="L38" s="15"/>
    </row>
    <row r="39" spans="1:12" ht="15.75" thickBot="1" x14ac:dyDescent="0.3">
      <c r="A39" s="35" t="s">
        <v>37</v>
      </c>
      <c r="B39" s="25"/>
      <c r="C39" s="25"/>
      <c r="D39" s="36">
        <f>D37+D38</f>
        <v>15000</v>
      </c>
      <c r="E39" s="36">
        <f>E37+E38</f>
        <v>12000</v>
      </c>
      <c r="F39" s="36">
        <f t="shared" ref="F39:K39" si="24">F37+F38</f>
        <v>12000</v>
      </c>
      <c r="G39" s="36">
        <f t="shared" si="24"/>
        <v>12000</v>
      </c>
      <c r="H39" s="36">
        <f t="shared" si="24"/>
        <v>12000</v>
      </c>
      <c r="I39" s="36">
        <f t="shared" si="24"/>
        <v>20853.407399149764</v>
      </c>
      <c r="J39" s="36">
        <f t="shared" si="24"/>
        <v>33872.407399149757</v>
      </c>
      <c r="K39" s="36">
        <f t="shared" si="24"/>
        <v>24166.407399149757</v>
      </c>
      <c r="L39" s="25"/>
    </row>
    <row r="40" spans="1:12" x14ac:dyDescent="0.25">
      <c r="E40" s="11"/>
      <c r="F40" s="11"/>
      <c r="G40" s="11"/>
      <c r="H40" s="11"/>
      <c r="I40" s="11"/>
      <c r="J40" s="11"/>
      <c r="K40" s="11"/>
    </row>
    <row r="41" spans="1:12" x14ac:dyDescent="0.25">
      <c r="A41" t="s">
        <v>38</v>
      </c>
      <c r="D41" s="38">
        <v>0</v>
      </c>
      <c r="E41" s="11">
        <f>D41+E38</f>
        <v>14886</v>
      </c>
      <c r="F41" s="11">
        <f t="shared" ref="F41:K41" si="25">E41+F38</f>
        <v>10173.644999999997</v>
      </c>
      <c r="G41" s="11">
        <f t="shared" si="25"/>
        <v>640.94733749999432</v>
      </c>
      <c r="H41" s="11">
        <f t="shared" si="25"/>
        <v>8511.7544425312517</v>
      </c>
      <c r="I41" s="11">
        <f t="shared" si="25"/>
        <v>0</v>
      </c>
      <c r="J41" s="11">
        <f t="shared" si="25"/>
        <v>0</v>
      </c>
      <c r="K41" s="11">
        <f t="shared" si="25"/>
        <v>0</v>
      </c>
    </row>
    <row r="42" spans="1:12" x14ac:dyDescent="0.25">
      <c r="A42" t="s">
        <v>39</v>
      </c>
      <c r="B42" s="11">
        <v>12000</v>
      </c>
      <c r="E42" s="11"/>
      <c r="F42" s="11"/>
      <c r="G42" s="11"/>
      <c r="H42" s="11"/>
      <c r="I42" s="11"/>
      <c r="J42" s="11"/>
      <c r="K42" s="11"/>
    </row>
    <row r="43" spans="1:12" x14ac:dyDescent="0.25">
      <c r="A43" s="71" t="s">
        <v>108</v>
      </c>
      <c r="B43" s="37">
        <v>0.09</v>
      </c>
    </row>
    <row r="44" spans="1:12" x14ac:dyDescent="0.25">
      <c r="A44" s="71" t="s">
        <v>109</v>
      </c>
      <c r="B44" s="40">
        <f>B43/12</f>
        <v>7.4999999999999997E-3</v>
      </c>
      <c r="E44" s="11" t="s">
        <v>40</v>
      </c>
      <c r="F44" s="11"/>
      <c r="G44" s="11"/>
      <c r="H44" s="11"/>
      <c r="I44" s="11"/>
      <c r="J44" s="11"/>
      <c r="K44" s="11"/>
    </row>
    <row r="45" spans="1:12" x14ac:dyDescent="0.25">
      <c r="A45" s="33" t="s">
        <v>22</v>
      </c>
      <c r="B45" s="38">
        <f>'Prob 4 A'!B40</f>
        <v>9000</v>
      </c>
      <c r="C45" s="40"/>
      <c r="E45" s="11"/>
      <c r="F45" s="11"/>
      <c r="G45" s="11"/>
      <c r="H45" s="11"/>
      <c r="I45" s="11"/>
      <c r="J45" s="11"/>
      <c r="K45" s="11"/>
    </row>
    <row r="46" spans="1:12" x14ac:dyDescent="0.25">
      <c r="A46" s="33" t="s">
        <v>23</v>
      </c>
      <c r="B46" s="38">
        <f>'Prob 4 A'!B41</f>
        <v>12000</v>
      </c>
      <c r="C46" s="40"/>
      <c r="E46" s="11"/>
      <c r="F46" s="11"/>
      <c r="G46" s="11"/>
      <c r="H46" s="11"/>
      <c r="I46" s="11"/>
      <c r="J46" s="11"/>
      <c r="K46" s="11"/>
    </row>
    <row r="47" spans="1:12" x14ac:dyDescent="0.25">
      <c r="A47" s="33" t="s">
        <v>24</v>
      </c>
      <c r="B47" s="38">
        <f>'Prob 4 A'!B42</f>
        <v>4000</v>
      </c>
      <c r="C47" s="40"/>
      <c r="E47" s="11"/>
      <c r="F47" s="11"/>
      <c r="G47" s="11"/>
      <c r="H47" s="11"/>
      <c r="I47" s="11"/>
      <c r="J47" s="11"/>
      <c r="K47" s="11"/>
    </row>
    <row r="48" spans="1:12" x14ac:dyDescent="0.25">
      <c r="A48" s="33" t="s">
        <v>25</v>
      </c>
      <c r="B48" s="38">
        <f>'Prob 4 A'!B43</f>
        <v>221</v>
      </c>
      <c r="C48" s="40"/>
      <c r="E48" s="11"/>
      <c r="F48" s="11"/>
      <c r="G48" s="11"/>
      <c r="H48" s="11"/>
      <c r="I48" s="11"/>
      <c r="J48" s="11"/>
      <c r="K48" s="11"/>
    </row>
    <row r="49" spans="1:11" x14ac:dyDescent="0.25">
      <c r="A49" s="33" t="s">
        <v>27</v>
      </c>
      <c r="B49" s="38">
        <f>'Prob 4 A'!B44</f>
        <v>700</v>
      </c>
      <c r="C49" s="40"/>
      <c r="E49" s="11"/>
      <c r="F49" s="11"/>
      <c r="G49" s="11"/>
      <c r="H49" s="11"/>
      <c r="I49" s="11"/>
      <c r="J49" s="11"/>
      <c r="K49" s="11"/>
    </row>
    <row r="50" spans="1:11" x14ac:dyDescent="0.25">
      <c r="A50" s="71" t="s">
        <v>102</v>
      </c>
      <c r="B50" s="38">
        <f>'Prob 4 A'!B45</f>
        <v>200</v>
      </c>
    </row>
  </sheetData>
  <phoneticPr fontId="7" type="noConversion"/>
  <pageMargins left="0.75" right="0.75" top="1" bottom="1" header="0.5" footer="0.5"/>
  <pageSetup orientation="portrait" horizontalDpi="0"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Prob 1</vt:lpstr>
      <vt:lpstr>Prob 2</vt:lpstr>
      <vt:lpstr>Prob 2 Scenario Summary</vt:lpstr>
      <vt:lpstr>Prob 3</vt:lpstr>
      <vt:lpstr>Prob 3 Scenario Summary</vt:lpstr>
      <vt:lpstr>Prob 4 A</vt:lpstr>
      <vt:lpstr>Prob 4 B</vt:lpstr>
      <vt:lpstr>Maximum_Borrowing_Need</vt:lpstr>
      <vt:lpstr>Sales_Adjustment</vt:lpstr>
      <vt:lpstr>Total_Interest_Cost</vt:lpstr>
    </vt:vector>
  </TitlesOfParts>
  <Company>Mayes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 Ph.D</dc:creator>
  <cp:lastModifiedBy>Del</cp:lastModifiedBy>
  <dcterms:created xsi:type="dcterms:W3CDTF">2002-09-22T17:26:31Z</dcterms:created>
  <dcterms:modified xsi:type="dcterms:W3CDTF">2012-05-18T00:48:58Z</dcterms:modified>
</cp:coreProperties>
</file>